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MATER\MATER 2019\Fluxo de Caixa e Resultado Operacional\"/>
    </mc:Choice>
  </mc:AlternateContent>
  <bookViews>
    <workbookView xWindow="0" yWindow="0" windowWidth="28800" windowHeight="13065" tabRatio="755" activeTab="1"/>
  </bookViews>
  <sheets>
    <sheet name="Fluxo de Caixa" sheetId="35" r:id="rId1"/>
    <sheet name="Resultado Operacional" sheetId="33" r:id="rId2"/>
  </sheets>
  <definedNames>
    <definedName name="OLE_LINK2" localSheetId="1">'Resultado Operacional'!#REF!</definedName>
  </definedNames>
  <calcPr calcId="152511"/>
</workbook>
</file>

<file path=xl/calcChain.xml><?xml version="1.0" encoding="utf-8"?>
<calcChain xmlns="http://schemas.openxmlformats.org/spreadsheetml/2006/main">
  <c r="K23" i="35" l="1"/>
  <c r="L23" i="35"/>
  <c r="K24" i="35"/>
  <c r="L24" i="35"/>
  <c r="K25" i="35"/>
  <c r="L25" i="35"/>
  <c r="K11" i="35"/>
  <c r="L11" i="35"/>
  <c r="K9" i="35"/>
  <c r="L9" i="35"/>
  <c r="J40" i="33"/>
  <c r="K40" i="33"/>
  <c r="L40" i="33"/>
  <c r="J34" i="33"/>
  <c r="K34" i="33"/>
  <c r="L34" i="33"/>
  <c r="J29" i="33"/>
  <c r="K29" i="33"/>
  <c r="L29" i="33"/>
  <c r="K23" i="33"/>
  <c r="L23" i="33"/>
  <c r="L20" i="33" s="1"/>
  <c r="J20" i="33"/>
  <c r="K20" i="33"/>
  <c r="J17" i="33"/>
  <c r="K17" i="33"/>
  <c r="K18" i="33" s="1"/>
  <c r="L17" i="33"/>
  <c r="J18" i="33"/>
  <c r="L18" i="33"/>
  <c r="K8" i="33"/>
  <c r="L8" i="33"/>
  <c r="J23" i="35" l="1"/>
  <c r="J24" i="35"/>
  <c r="J25" i="35"/>
  <c r="J11" i="35"/>
  <c r="J9" i="35"/>
  <c r="E48" i="33"/>
  <c r="F48" i="33"/>
  <c r="F49" i="33" s="1"/>
  <c r="G48" i="33"/>
  <c r="H48" i="33"/>
  <c r="H49" i="33" s="1"/>
  <c r="I48" i="33"/>
  <c r="E49" i="33"/>
  <c r="G49" i="33"/>
  <c r="I49" i="33"/>
  <c r="E40" i="33"/>
  <c r="F40" i="33"/>
  <c r="G40" i="33"/>
  <c r="H40" i="33"/>
  <c r="I40" i="33"/>
  <c r="J48" i="33"/>
  <c r="J49" i="33" s="1"/>
  <c r="K48" i="33"/>
  <c r="K49" i="33" s="1"/>
  <c r="E34" i="33"/>
  <c r="F34" i="33"/>
  <c r="G34" i="33"/>
  <c r="H34" i="33"/>
  <c r="I34" i="33"/>
  <c r="E29" i="33"/>
  <c r="F29" i="33"/>
  <c r="G29" i="33"/>
  <c r="H29" i="33"/>
  <c r="I29" i="33"/>
  <c r="E23" i="33"/>
  <c r="F23" i="33"/>
  <c r="F20" i="33" s="1"/>
  <c r="G23" i="33"/>
  <c r="H23" i="33"/>
  <c r="H20" i="33" s="1"/>
  <c r="I23" i="33"/>
  <c r="J23" i="33"/>
  <c r="E20" i="33"/>
  <c r="G20" i="33"/>
  <c r="I20" i="33"/>
  <c r="E17" i="33"/>
  <c r="F17" i="33"/>
  <c r="F18" i="33" s="1"/>
  <c r="G17" i="33"/>
  <c r="H17" i="33"/>
  <c r="H18" i="33" s="1"/>
  <c r="I17" i="33"/>
  <c r="E18" i="33"/>
  <c r="G18" i="33"/>
  <c r="I18" i="33"/>
  <c r="F8" i="33"/>
  <c r="G8" i="33"/>
  <c r="H8" i="33"/>
  <c r="I8" i="33"/>
  <c r="J8" i="33"/>
  <c r="I9" i="35" l="1"/>
  <c r="I11" i="35"/>
  <c r="I23" i="35"/>
  <c r="I24" i="35"/>
  <c r="I25" i="35"/>
  <c r="I36" i="35"/>
  <c r="I35" i="35"/>
  <c r="I30" i="35"/>
  <c r="H30" i="33" l="1"/>
  <c r="H23" i="35"/>
  <c r="H24" i="35"/>
  <c r="H25" i="35"/>
  <c r="H11" i="35"/>
  <c r="H9" i="35"/>
  <c r="G30" i="33" l="1"/>
  <c r="G23" i="35"/>
  <c r="G24" i="35"/>
  <c r="G25" i="35"/>
  <c r="G9" i="35"/>
  <c r="G11" i="35"/>
  <c r="F4" i="35" l="1"/>
  <c r="E4" i="35"/>
  <c r="D4" i="35"/>
  <c r="F30" i="33"/>
  <c r="E30" i="33" l="1"/>
  <c r="D36" i="35" l="1"/>
  <c r="D30" i="35"/>
  <c r="D30" i="33" l="1"/>
  <c r="D29" i="33" s="1"/>
  <c r="D43" i="33"/>
  <c r="D37" i="33"/>
  <c r="D36" i="33"/>
  <c r="D35" i="33"/>
  <c r="D33" i="33"/>
  <c r="D31" i="33"/>
  <c r="D27" i="33"/>
  <c r="D22" i="33"/>
  <c r="D21" i="33"/>
  <c r="B40" i="33" l="1"/>
  <c r="C40" i="33"/>
  <c r="B34" i="33"/>
  <c r="C34" i="33"/>
  <c r="B29" i="33"/>
  <c r="C29" i="33"/>
  <c r="B23" i="33"/>
  <c r="C23" i="33"/>
  <c r="B20" i="33"/>
  <c r="C20" i="33"/>
  <c r="C4" i="35"/>
  <c r="L31" i="35" l="1"/>
  <c r="B47" i="33" l="1"/>
  <c r="B48" i="33" l="1"/>
  <c r="B49" i="33" l="1"/>
  <c r="F11" i="35" l="1"/>
  <c r="F9" i="35"/>
  <c r="F47" i="33" l="1"/>
  <c r="E47" i="33"/>
  <c r="D47" i="33"/>
  <c r="C47" i="33"/>
  <c r="N46" i="33"/>
  <c r="N45" i="33"/>
  <c r="N44" i="33"/>
  <c r="N42" i="33"/>
  <c r="N41" i="33"/>
  <c r="N39" i="33"/>
  <c r="N37" i="33"/>
  <c r="D34" i="33"/>
  <c r="N32" i="33"/>
  <c r="N28" i="33"/>
  <c r="N26" i="33"/>
  <c r="N25" i="33"/>
  <c r="N24" i="33"/>
  <c r="D23" i="33"/>
  <c r="D20" i="33" s="1"/>
  <c r="N19" i="33"/>
  <c r="D17" i="33"/>
  <c r="C17" i="33"/>
  <c r="N15" i="33"/>
  <c r="N14" i="33"/>
  <c r="N13" i="33"/>
  <c r="N12" i="33"/>
  <c r="N10" i="33"/>
  <c r="N9" i="33"/>
  <c r="E8" i="33"/>
  <c r="D8" i="33"/>
  <c r="C8" i="33"/>
  <c r="N7" i="33"/>
  <c r="N6" i="33"/>
  <c r="N5" i="33"/>
  <c r="N4" i="33"/>
  <c r="D18" i="33" l="1"/>
  <c r="N21" i="33"/>
  <c r="N27" i="33"/>
  <c r="N36" i="33"/>
  <c r="N38" i="33"/>
  <c r="N31" i="33"/>
  <c r="N35" i="33"/>
  <c r="N11" i="33"/>
  <c r="N22" i="33"/>
  <c r="N33" i="33"/>
  <c r="N30" i="33"/>
  <c r="N34" i="33"/>
  <c r="D40" i="33"/>
  <c r="D48" i="33" s="1"/>
  <c r="N23" i="33"/>
  <c r="C18" i="33"/>
  <c r="N16" i="33"/>
  <c r="N17" i="33"/>
  <c r="C48" i="33"/>
  <c r="N8" i="33"/>
  <c r="D49" i="33" l="1"/>
  <c r="N29" i="33"/>
  <c r="N20" i="33"/>
  <c r="C49" i="33"/>
  <c r="N18" i="33"/>
  <c r="N43" i="33" l="1"/>
  <c r="N40" i="33"/>
  <c r="N47" i="33" l="1"/>
  <c r="E9" i="35"/>
  <c r="N49" i="33" l="1"/>
  <c r="N48" i="33"/>
  <c r="E23" i="35"/>
  <c r="E11" i="35" l="1"/>
  <c r="D9" i="35" l="1"/>
  <c r="D37" i="35"/>
  <c r="D23" i="35"/>
  <c r="D24" i="35" l="1"/>
  <c r="B11" i="35" l="1"/>
  <c r="C9" i="35" l="1"/>
  <c r="C37" i="35" l="1"/>
  <c r="E37" i="35"/>
  <c r="F37" i="35"/>
  <c r="G37" i="35"/>
  <c r="H37" i="35"/>
  <c r="I37" i="35"/>
  <c r="J37" i="35"/>
  <c r="K37" i="35"/>
  <c r="L37" i="35"/>
  <c r="M37" i="35"/>
  <c r="C31" i="35"/>
  <c r="D31" i="35"/>
  <c r="E31" i="35"/>
  <c r="F31" i="35"/>
  <c r="G31" i="35"/>
  <c r="H31" i="35"/>
  <c r="I31" i="35"/>
  <c r="J31" i="35"/>
  <c r="K31" i="35"/>
  <c r="M31" i="35"/>
  <c r="B37" i="35"/>
  <c r="B9" i="35" l="1"/>
  <c r="E24" i="35" l="1"/>
  <c r="B31" i="35" l="1"/>
  <c r="N21" i="35"/>
  <c r="N20" i="35"/>
  <c r="N19" i="35"/>
  <c r="N17" i="35"/>
  <c r="N6" i="35"/>
  <c r="F23" i="35"/>
  <c r="F24" i="35" l="1"/>
  <c r="N14" i="35" l="1"/>
  <c r="N13" i="35"/>
  <c r="N7" i="35" l="1"/>
  <c r="N18" i="35" l="1"/>
  <c r="D11" i="35" l="1"/>
  <c r="N12" i="35"/>
  <c r="N16" i="35" l="1"/>
  <c r="N15" i="35" l="1"/>
  <c r="C23" i="35"/>
  <c r="C11" i="35"/>
  <c r="N11" i="35" s="1"/>
  <c r="N8" i="35" l="1"/>
  <c r="B23" i="35" l="1"/>
  <c r="N22" i="35"/>
  <c r="C24" i="35"/>
  <c r="B25" i="35" l="1"/>
  <c r="B24" i="35"/>
  <c r="N23" i="35"/>
  <c r="C25" i="35" l="1"/>
  <c r="D25" i="35" l="1"/>
  <c r="N24" i="35"/>
  <c r="N9" i="35"/>
  <c r="E25" i="35" l="1"/>
  <c r="F25" i="35" l="1"/>
</calcChain>
</file>

<file path=xl/comments1.xml><?xml version="1.0" encoding="utf-8"?>
<comments xmlns="http://schemas.openxmlformats.org/spreadsheetml/2006/main">
  <authors>
    <author>f0214</author>
  </authors>
  <commentList>
    <comment ref="A12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SALARIOS + BENEFICIOS</t>
        </r>
      </text>
    </comment>
    <comment ref="A15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CONSIGNADO + IMPOSTOS + RESCISÃO</t>
        </r>
      </text>
    </comment>
    <comment ref="A20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SERVIÇOS PUBLICOS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CUSTEIO ADMINISTRATIVO</t>
        </r>
      </text>
    </comment>
  </commentList>
</comments>
</file>

<file path=xl/comments2.xml><?xml version="1.0" encoding="utf-8"?>
<comments xmlns="http://schemas.openxmlformats.org/spreadsheetml/2006/main">
  <authors>
    <author>f0214</author>
  </authors>
  <commentList>
    <comment ref="B12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Rendimentos R$ 9.590,31
Descontos obtidos R$ 0,05</t>
        </r>
      </text>
    </comment>
    <comment ref="A16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não esquecer de lançar doações aqui</t>
        </r>
      </text>
    </comment>
    <comment ref="A21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SALARIOS + PIN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FGTS + PIS</t>
        </r>
      </text>
    </comment>
    <comment ref="A27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BENEFICIOS + VALE TRANSPORTE</t>
        </r>
      </text>
    </comment>
    <comment ref="A30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SERVIÇOS LAB, MEDICOS, AMBULANCIAS, COOPERATIVAS</t>
        </r>
      </text>
    </comment>
    <comment ref="A33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OUTROS SERVIÇOS + MANUTENÇÃO</t>
        </r>
      </text>
    </comment>
    <comment ref="A35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MATERIAIS MEDICOS + MEDICAMENTOS</t>
        </r>
      </text>
    </comment>
    <comment ref="A36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OUTROS MAT.</t>
        </r>
      </text>
    </comment>
    <comment ref="A37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CUSTEIO + SERVIÇOS PUBLICOS</t>
        </r>
      </text>
    </comment>
    <comment ref="A38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DESPESAS GERAIS</t>
        </r>
      </text>
    </comment>
    <comment ref="A39" authorId="0" shapeId="0">
      <text>
        <r>
          <rPr>
            <b/>
            <sz val="9"/>
            <color indexed="81"/>
            <rFont val="Segoe UI"/>
            <family val="2"/>
          </rPr>
          <t>f0214:</t>
        </r>
        <r>
          <rPr>
            <sz val="9"/>
            <color indexed="81"/>
            <rFont val="Segoe UI"/>
            <family val="2"/>
          </rPr>
          <t xml:space="preserve">
DESPESAS FINANCEIRAS
</t>
        </r>
      </text>
    </comment>
  </commentList>
</comments>
</file>

<file path=xl/sharedStrings.xml><?xml version="1.0" encoding="utf-8"?>
<sst xmlns="http://schemas.openxmlformats.org/spreadsheetml/2006/main" count="186" uniqueCount="112">
  <si>
    <t>Outros</t>
  </si>
  <si>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</si>
  <si>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</si>
  <si>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</si>
  <si>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</si>
  <si>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</si>
  <si>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</si>
  <si>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</si>
  <si>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</si>
  <si>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</si>
  <si>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</si>
  <si>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</si>
  <si>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</si>
  <si>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</si>
  <si>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Outras Receitas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</si>
  <si>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</si>
  <si>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</si>
  <si>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</si>
  <si>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</si>
  <si>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</si>
  <si>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</si>
  <si>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</si>
  <si>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</si>
  <si>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</si>
  <si>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</si>
  <si>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</si>
  <si>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</si>
  <si>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Saldo do mês (Receitas-despesas)</t>
  </si>
  <si>
    <t> 509 - Fluxo de Caixa </t>
  </si>
  <si>
    <t>Contrato de Gestão / Convênio</t>
  </si>
  <si>
    <t>Salários</t>
  </si>
  <si>
    <t>13º</t>
  </si>
  <si>
    <t>Férias</t>
  </si>
  <si>
    <t>Terceiros (Serviços/Locação Equipamentos)</t>
  </si>
  <si>
    <t>Utilidade Pública (água, energia, telefone, gas)</t>
  </si>
  <si>
    <t>Outras despesas</t>
  </si>
  <si>
    <t>SALDO FINAL (SD Anterior +Receitas - Despesas)</t>
  </si>
  <si>
    <t> 305 - Saldo Bancário </t>
  </si>
  <si>
    <t> 371 - Observação </t>
  </si>
  <si>
    <t>Descrição</t>
  </si>
  <si>
    <t> 508 - Receitas e Despesas Operacionais </t>
  </si>
  <si>
    <t>Receitas Operacionais</t>
  </si>
  <si>
    <t>SUS / AIH</t>
  </si>
  <si>
    <t>SUS / Ambulatório</t>
  </si>
  <si>
    <t>Resultado de Aplicação Financeira</t>
  </si>
  <si>
    <t>Reembolso de Despesas</t>
  </si>
  <si>
    <t>'Demais Receitas' (Convênios)</t>
  </si>
  <si>
    <t>'Receitas Extras'</t>
  </si>
  <si>
    <t>Despesas Operacionais</t>
  </si>
  <si>
    <t>Pessoal</t>
  </si>
  <si>
    <t>Serviços Terceirizados</t>
  </si>
  <si>
    <t>Investimento</t>
  </si>
  <si>
    <t>TOTAL GERAL (4 + 5)</t>
  </si>
  <si>
    <t>SALDO (Total das Receitas - Total Geral)</t>
  </si>
  <si>
    <t> 57 - Observações </t>
  </si>
  <si>
    <t>511 - Composição de Saldo</t>
  </si>
  <si>
    <t>Custeio</t>
  </si>
  <si>
    <t>TOTAL</t>
  </si>
  <si>
    <t>Repasse Contrato de Gestão/Convênio (Fixo + Variável)</t>
  </si>
  <si>
    <t>Repasse Termo Aditivo - adicional (Investimento)</t>
  </si>
  <si>
    <t>Repasse Termo Aditivo - adicional (Custeio)</t>
  </si>
  <si>
    <t>Total (1)</t>
  </si>
  <si>
    <t>Total (2)</t>
  </si>
  <si>
    <t>Total (3)</t>
  </si>
  <si>
    <t>Total das Receitas (1) + (2) + (3)</t>
  </si>
  <si>
    <t>Ordenados</t>
  </si>
  <si>
    <t>Encargos Sociais</t>
  </si>
  <si>
    <t>Provisões</t>
  </si>
  <si>
    <t>13º exclusivamente</t>
  </si>
  <si>
    <t>Férias exclusivamente</t>
  </si>
  <si>
    <t>Outros provisionamentos</t>
  </si>
  <si>
    <t>Benefícios</t>
  </si>
  <si>
    <t>Outras despesas com pessoal</t>
  </si>
  <si>
    <t>Assistenciais</t>
  </si>
  <si>
    <t>Pessoa Jurídica</t>
  </si>
  <si>
    <t>Pessoa Física</t>
  </si>
  <si>
    <t>Administrativos</t>
  </si>
  <si>
    <t>Materiais e medicamento</t>
  </si>
  <si>
    <t>Materiais de consumo</t>
  </si>
  <si>
    <t>Gerais (água, luz, telefone, aluguel)</t>
  </si>
  <si>
    <t>Tributárias/Financeiras</t>
  </si>
  <si>
    <t>Total das Despesas Operacionais (4)</t>
  </si>
  <si>
    <t>Equipamentos</t>
  </si>
  <si>
    <t>Móveis e Utensílios</t>
  </si>
  <si>
    <t>Obras e Instalações</t>
  </si>
  <si>
    <t>Intangível (Direito e uso)</t>
  </si>
  <si>
    <t>Veículos</t>
  </si>
  <si>
    <t>Total Investimento (5)</t>
  </si>
  <si>
    <t>No item "Outras Despesas", o valor de R$ 223.220,55 refere-se ao custeio administrativo.
No Saldo Bancário, a diferença de R$ 500,00 refere-se a adiantamento.</t>
  </si>
  <si>
    <r>
      <t xml:space="preserve">Na alínea "Outras Receitas" o valor de R$ 8.517,26 refere-se a:
- R$ 8.464,86 a doações recebidas
- R$ 52,40 refere-se a valores de estorno de mensalidade ASTSRP. 
Na alínea 'Outras Despesas" no valor de </t>
    </r>
    <r>
      <rPr>
        <sz val="11"/>
        <color rgb="FFFF0000"/>
        <rFont val="Calibri"/>
        <family val="2"/>
        <scheme val="minor"/>
      </rPr>
      <t>(-R$ 8.327,29</t>
    </r>
    <r>
      <rPr>
        <sz val="11"/>
        <rFont val="Calibri"/>
        <family val="2"/>
        <scheme val="minor"/>
      </rPr>
      <t>) pertencem a subconta:
- Outras Locações R$ 540,00
- Impostos, Taxas e Multas</t>
    </r>
    <r>
      <rPr>
        <sz val="11"/>
        <color rgb="FFFF0000"/>
        <rFont val="Calibri"/>
        <family val="2"/>
        <scheme val="minor"/>
      </rPr>
      <t xml:space="preserve"> (-R$ 8.867,29)</t>
    </r>
    <r>
      <rPr>
        <sz val="11"/>
        <rFont val="Calibri"/>
        <family val="2"/>
        <scheme val="minor"/>
      </rPr>
      <t xml:space="preserve"> REF. estorno de despesa</t>
    </r>
  </si>
  <si>
    <t>No item "Outras Despesas", o valor de R$ 105.307,86 refere-se ao custeio administrativo.
No Saldo Bancário, a diferença de R$ 500,00 refere-se a adiantamento.</t>
  </si>
  <si>
    <t xml:space="preserve">Na alínea "Outras Receitas" o valor de R$ 4.041,50 refere-se a:
- R$ 3.987,00 a doações recebidas
- R$ 54,50 refere-se a valores de estorno de mensalidade ASTSRP. 
Na alínea 'Outras Despesas" no valor de R$ 1.603,70 pertencem a subconta:
- Anuidades, Contrib. e Mensalidades R$ 200,00
- Impressos, Cartazes e Informativos R$ 467,70
- Locação de cilindros para gases medicinais R$ 396,00 
- Outras Locações R$ 540,00
</t>
  </si>
  <si>
    <t>No item "Outras Despesas", o valor de R$ 75.241,73 refere-se ao custeio administrativo.
No Saldo Bancário, a diferença de R$ 500,00 refere-se a adiantamento.</t>
  </si>
  <si>
    <t>Na alínea "Outras Receitas" o valor de R$ 9.544,76 refere-se a:
- R$ 9.491,68 a doações recebidas
- R$ 53,08 refere-se a valores de estorno de mensalidade ASTSRP. 
Na alínea 'Outras Despesas" no valor de R$ 1.817,04 pertencem a subconta:
- Anuidades, Contrib. e Mensalidades R$ 227,7
- Impressos, Cartazes e Informativos R$ 111,9
- Locomoção, transportes e estadias R$ 202,34
- Hospedagem e alimentação R$ 28,00
- Passagens aéreas R$ 1.247,10</t>
  </si>
  <si>
    <t>Na alínea "Outras Receitas" o valor de R$ 9.476,28 refere-se a:
- R$ 9.423,29 a doações recebidas.
- R$ 52,99 refere-se a valores de estorno de mensalidade ASTSRP. 
Na alínea 'Outras Despesas" no valor de R$ 1.928,60 pertencem a subconta:
- Fretes e Carretos R$ 259,20
- Impressos, Cartazes e Informativos R$ 209,40
- Locomoção, transportes e estadias R$ 52,80
- Locação de cilindros para gases medicinais R$ 396,00
- Hospedagem e alimentação R$ 471,20
- Outras locações R$ 540,00</t>
  </si>
  <si>
    <t>No item "Outras Despesas", o valor de R$ 69.445,89 refere-se ao custeio administrativo.
No Saldo Bancário, a diferença de R$ 500,00 refere-se a adiantamento.</t>
  </si>
  <si>
    <t>Na alínea "Outras Receitas" o valor de R$ 3.894,38 refere-se a:
- R$ 3.840,00 a doações recebidas.
- R$ 54,38 refere-se a valores de estorno de mensalidade ASTSRP. 
Na alínea 'Outras Despesas" no valor de R$ 1.712,41 pertencem a subconta:
- Anuidades, Contribuições e Mensalidades R$ 200,00
- Impressos, Cartazes e Informativos R$ 699,40
- Locação de cilindros para gases medicinais R$ 207,18
- Hospedagem e alimentação R$ 65,83
- Outras locações R$ 540,00</t>
  </si>
  <si>
    <t>No item "Outras Despesas", o valor de R$ 73.709,67 refere-se ao custeio administrativo.
No Saldo Bancário, a diferença de R$ 500,00 refere-se a adiantamento.</t>
  </si>
  <si>
    <t>No item "Outras Despesas", o valor de R$ 64.149,01 refere-se ao custeio administrativo.
No Saldo Bancário, a diferença de R$ 500,00 refere-se a adiantamento.</t>
  </si>
  <si>
    <r>
      <rPr>
        <b/>
        <sz val="11"/>
        <rFont val="Calibri"/>
        <family val="2"/>
        <scheme val="minor"/>
      </rPr>
      <t xml:space="preserve">Na alínea "Outras Receitas" o valor de R$ 18.747,65 refere-se a:
- R$ 18.689,28 a doações recebidas.
- R$ 58,37 refere-se a valores de estorno de mensalidade ASTSRP. </t>
    </r>
    <r>
      <rPr>
        <sz val="11"/>
        <rFont val="Calibri"/>
        <family val="2"/>
        <scheme val="minor"/>
      </rPr>
      <t xml:space="preserve">
Na alínea 'Outras Despesas" no valor de R$ 1.217,15 pertencem a subconta:
- Locomoção, transportes e estadia R$ 213,44
- Locação de cilindros para gases medicinais R$ 207,18
- Hospedagem e alimentação R$ 256,53
- Outras locações R$ 540,00</t>
    </r>
  </si>
  <si>
    <t>No item "Outras Despesas", o valor de R$ 59.497,79 refere-se ao custeio administrativo.
No Saldo Bancário, a diferença de R$ 500,00 refere-se a adiantamento.</t>
  </si>
  <si>
    <t>Na alínea "Outras Receitas" o valor de R$ 6.824,86 refere-se a:
- R$ 6.768,81, a doações recebidas.
- R$ 56,05 refere-se a valores de estorno de mensalidade ASTSRP. 
Na alínea 'Outras Despesas" no valor de R$ 4.890,68 pertencem a subconta:
- Anuidades, contrib. e mensalidades R$ 200,00
- Locomoção, transportes e estadia R$ 262,90
- Locação de cilindros para gases medicinais R$ 207,18
- Hospedagem e alimentação R$ 140,60
- Outras locações R$ 4.080,00</t>
  </si>
  <si>
    <t>No item "Outras Despesas", o valor de R$ 73.539,05 refere-se ao custeio administrativo.
No Saldo Bancário, a diferença de R$ 500,00 refere-se a adiantamento.</t>
  </si>
  <si>
    <t>Na alínea "Outras Receitas" o valor de R$ 4.858,90 refere-se a:
- R$ 4.803,90, a doações recebidas.
- R$ 55,00 refere-se a valores de estorno de mensalidade ASTSRP. 
Na alínea 'Outras Despesas" no valor de R$ 7016,27 pertencem a subconta:
- Seguros Diversos R$ 6.034,90
- Locomoção, transportes e estadia R$ 234,19
- Locação de cilindros para gases medicinais R$ 207,18
- Outras locações R$ 540,00</t>
  </si>
  <si>
    <t>No item "Outras Despesas", o valor de R$ 61.318,76 refere-se ao custeio administrativo.
No Saldo Bancário, a diferença de R$ 500,00 refere-se a adiantamento.</t>
  </si>
  <si>
    <t>Na alínea "Outras Receitas" o valor R$ 20.873,62 refere-se a
- R$ 20.815,90 a doações
- R$ 57,72 estorno mensalidade ASTSRP
Na alínea "Outras Despesas" no valor R$ 8.576,43 refere-se a
- Anuidades, contrib. e mensalidades R$ 200,00
- Fretes/carretos R$ 4.515,45
- Impostos, taxas e multas R$ 265,30
- Impressos, cartazes e informativos R$ 1.006,80
- Postais Legais e fotocópias R$ 16,20
- Seguros diversos R$ 1.206,98
- Locomoção, transportes e estadia R$ 1.098,69
- Hospedagem/Alimentação R$ 267,01</t>
  </si>
  <si>
    <t xml:space="preserve">Na alínea "Outras Receitas" o valor de R$ 4.078,94 refere-se a
- R$ 4.023,90 doações recebidas.
- R$ 55,04 estorno de mensalidade ASTSRP. 
Na alínea "Outras Despesas" no valor de R$ 27.103,73 refere-se a
- Anuidades,contrib e mensalidades R$ 200,00
- Fretes e Carretos R$ 174,40
- Impostos, taxas e multas R$ 25.439,18
- Impressos, cartazes, informativos R$ 883,10
- Locomoção, transportes, estadia R$ 20,82
- Locação cilindros gases medicinais R$ 218,69
- Hospedagem e alimentação R$ 167,54
</t>
  </si>
  <si>
    <t>No item "Outras Despesas", o valor de R$ 62.944,42 refere-se ao custeio administrativo.
No Saldo Bancário, a diferença de R$ 500,00 refere-se a adiantamento.</t>
  </si>
  <si>
    <t>Na alínea "Outras Receitas" o valor de R$ 20.600,92 refere-se a
- R$ 20.534,51 doações recebidas
- R$ 66,41 estorno de mensalidade ASTSRP
Na alínea "Outras Despesas" no valor de R$ 79.837,19 refere-se a
- Cursos e Congressos R$ 900,00
- Fretes e Carretos R$ 5.241,72
- Impostos, taxas e multas R$ 72.399,08
- Locomoção, transportes, estadia R$ 351,70
- Locação de Equipamentos R$ 540,00
- Locação cilindros gases medicinais R$ 207,18
- Hospedagem e alimentação R$ 186,00
- Outras Locações R$ 11,51</t>
  </si>
  <si>
    <t>No item "Outras Despesas", o valor de R$ 57.579,17 refere-se ao custeio administrativo.
No Saldo Bancário, a diferença de R$ 500,00 refere-se a adiantamento.</t>
  </si>
  <si>
    <t>No item "Outras Despesas", o valor de R$ 61.167,92 refere-se ao custeio administrativo.
No Saldo Bancário, a diferença de R$ 500,00 refere-se a adiantamento.</t>
  </si>
  <si>
    <r>
      <t>Na alínea "Outras Receitas" o valor de R$ 8.022,06 refere-se a
-R$ 7.937,95 doações recebidas
-R$ 84,11 estorno de mensalidade ASTSRP
Na alínea "Outras Despesas" o valor de R$ 12.804,86 refere-se a
-Anuidades, contrib. e mensal. R$ 200
-Cursos e Congressos R$ 2.500
-Fretes e Carretos R$ 5.041,61
-Impostos, taxas e multas R$ 4.756,58
-Impressos, cartazes e inform. R$ 177,10
-Locomoção, transportes, estadia R$ 303,12
-Locação cilindros gases medicinais (</t>
    </r>
    <r>
      <rPr>
        <sz val="12"/>
        <color rgb="FFFF0000"/>
        <rFont val="Calibri"/>
        <family val="2"/>
        <scheme val="minor"/>
      </rPr>
      <t>- R$ 254,35</t>
    </r>
    <r>
      <rPr>
        <sz val="12"/>
        <rFont val="Calibri"/>
        <family val="2"/>
        <scheme val="minor"/>
      </rPr>
      <t>)
-Hospedagem e alim. R$ 80,80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</si>
</sst>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theme="1" tint="0.499984740745262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theme="1" tint="0.499984740745262"/>
      </bottom>
      <diagonal/>
    </border>
    <border>
      <left style="medium">
        <color rgb="FFCFCFCF"/>
      </left>
      <right style="medium">
        <color rgb="FFCFCFCF"/>
      </right>
      <top style="medium">
        <color theme="1" tint="0.499984740745262"/>
      </top>
      <bottom style="medium">
        <color theme="0" tint="-0.24994659260841701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3" applyNumberFormat="0" applyAlignment="0" applyProtection="0"/>
    <xf numFmtId="0" fontId="13" fillId="8" borderId="14" applyNumberFormat="0" applyAlignment="0" applyProtection="0"/>
    <xf numFmtId="0" fontId="14" fillId="8" borderId="13" applyNumberFormat="0" applyAlignment="0" applyProtection="0"/>
    <xf numFmtId="0" fontId="15" fillId="0" borderId="15" applyNumberFormat="0" applyFill="0" applyAlignment="0" applyProtection="0"/>
    <xf numFmtId="0" fontId="16" fillId="9" borderId="16" applyNumberFormat="0" applyAlignment="0" applyProtection="0"/>
    <xf numFmtId="0" fontId="17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3" fontId="0" fillId="0" borderId="0" xfId="7" applyFont="1"/>
    <xf numFmtId="43" fontId="2" fillId="0" borderId="2" xfId="7" applyFont="1" applyBorder="1" applyAlignment="1">
      <alignment wrapText="1"/>
    </xf>
    <xf numFmtId="43" fontId="3" fillId="0" borderId="2" xfId="7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43" fontId="3" fillId="0" borderId="4" xfId="7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3" fontId="4" fillId="0" borderId="7" xfId="7" applyFont="1" applyBorder="1" applyAlignment="1">
      <alignment horizontal="center" vertical="center" wrapText="1"/>
    </xf>
    <xf numFmtId="43" fontId="4" fillId="0" borderId="9" xfId="7" applyFont="1" applyBorder="1" applyAlignment="1">
      <alignment horizontal="center" vertical="center" wrapText="1"/>
    </xf>
    <xf numFmtId="43" fontId="0" fillId="0" borderId="0" xfId="7" applyFont="1" applyFill="1" applyBorder="1" applyAlignment="1">
      <alignment vertical="center" wrapText="1" readingOrder="1"/>
    </xf>
    <xf numFmtId="43" fontId="3" fillId="0" borderId="2" xfId="7" applyNumberFormat="1" applyFont="1" applyBorder="1" applyAlignment="1">
      <alignment horizontal="center" wrapText="1"/>
    </xf>
    <xf numFmtId="43" fontId="3" fillId="0" borderId="2" xfId="7" applyNumberFormat="1" applyFont="1" applyBorder="1" applyAlignment="1">
      <alignment horizontal="right" wrapText="1"/>
    </xf>
    <xf numFmtId="43" fontId="2" fillId="0" borderId="2" xfId="0" applyNumberFormat="1" applyFont="1" applyBorder="1"/>
    <xf numFmtId="4" fontId="4" fillId="0" borderId="2" xfId="0" applyNumberFormat="1" applyFont="1" applyBorder="1" applyAlignment="1">
      <alignment wrapText="1"/>
    </xf>
    <xf numFmtId="43" fontId="4" fillId="0" borderId="2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4" fontId="0" fillId="0" borderId="0" xfId="0" applyNumberFormat="1"/>
    <xf numFmtId="0" fontId="2" fillId="2" borderId="2" xfId="0" applyFont="1" applyFill="1" applyBorder="1" applyAlignment="1">
      <alignment wrapText="1"/>
    </xf>
    <xf numFmtId="43" fontId="2" fillId="0" borderId="2" xfId="0" applyNumberFormat="1" applyFont="1" applyBorder="1" applyAlignment="1">
      <alignment wrapText="1"/>
    </xf>
    <xf numFmtId="44" fontId="3" fillId="0" borderId="2" xfId="7" applyNumberFormat="1" applyFont="1" applyBorder="1" applyAlignment="1">
      <alignment horizontal="center" wrapText="1"/>
    </xf>
    <xf numFmtId="44" fontId="0" fillId="0" borderId="0" xfId="0" applyNumberFormat="1"/>
    <xf numFmtId="44" fontId="3" fillId="0" borderId="2" xfId="0" applyNumberFormat="1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 wrapText="1"/>
    </xf>
    <xf numFmtId="43" fontId="2" fillId="0" borderId="6" xfId="0" applyNumberFormat="1" applyFont="1" applyBorder="1" applyAlignment="1">
      <alignment horizontal="right" wrapText="1"/>
    </xf>
    <xf numFmtId="43" fontId="2" fillId="0" borderId="6" xfId="0" applyNumberFormat="1" applyFont="1" applyBorder="1" applyAlignment="1">
      <alignment wrapText="1"/>
    </xf>
    <xf numFmtId="43" fontId="3" fillId="0" borderId="1" xfId="7" applyFont="1" applyBorder="1" applyAlignment="1">
      <alignment wrapText="1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0" xfId="7" applyNumberFormat="1" applyFont="1" applyBorder="1" applyAlignment="1">
      <alignment horizontal="right" wrapText="1"/>
    </xf>
    <xf numFmtId="4" fontId="2" fillId="0" borderId="0" xfId="0" applyNumberFormat="1" applyFont="1"/>
    <xf numFmtId="4" fontId="0" fillId="0" borderId="0" xfId="7" applyNumberFormat="1" applyFont="1" applyFill="1" applyBorder="1" applyAlignment="1">
      <alignment vertical="center" wrapText="1" readingOrder="1"/>
    </xf>
    <xf numFmtId="43" fontId="2" fillId="2" borderId="2" xfId="0" applyNumberFormat="1" applyFont="1" applyFill="1" applyBorder="1" applyAlignment="1">
      <alignment wrapText="1"/>
    </xf>
    <xf numFmtId="43" fontId="4" fillId="0" borderId="2" xfId="0" applyNumberFormat="1" applyFont="1" applyBorder="1" applyAlignment="1"/>
    <xf numFmtId="43" fontId="2" fillId="0" borderId="2" xfId="0" applyNumberFormat="1" applyFont="1" applyBorder="1" applyAlignment="1"/>
    <xf numFmtId="43" fontId="3" fillId="0" borderId="2" xfId="7" applyFont="1" applyBorder="1" applyAlignment="1">
      <alignment wrapText="1"/>
    </xf>
    <xf numFmtId="43" fontId="3" fillId="0" borderId="2" xfId="7" applyNumberFormat="1" applyFont="1" applyBorder="1" applyAlignment="1">
      <alignment wrapText="1"/>
    </xf>
    <xf numFmtId="43" fontId="2" fillId="0" borderId="2" xfId="0" applyNumberFormat="1" applyFont="1" applyFill="1" applyBorder="1" applyAlignment="1"/>
    <xf numFmtId="0" fontId="0" fillId="0" borderId="0" xfId="0"/>
    <xf numFmtId="43" fontId="0" fillId="0" borderId="0" xfId="0" applyNumberFormat="1"/>
    <xf numFmtId="43" fontId="2" fillId="0" borderId="2" xfId="0" applyNumberFormat="1" applyFont="1" applyFill="1" applyBorder="1"/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3" fontId="2" fillId="35" borderId="0" xfId="0" applyNumberFormat="1" applyFont="1" applyFill="1" applyAlignment="1">
      <alignment vertical="center"/>
    </xf>
    <xf numFmtId="0" fontId="2" fillId="35" borderId="0" xfId="0" applyFont="1" applyFill="1" applyAlignment="1">
      <alignment vertical="center"/>
    </xf>
    <xf numFmtId="0" fontId="0" fillId="3" borderId="22" xfId="0" applyFill="1" applyBorder="1" applyAlignment="1">
      <alignment vertical="center"/>
    </xf>
    <xf numFmtId="49" fontId="22" fillId="0" borderId="2" xfId="0" applyNumberFormat="1" applyFont="1" applyBorder="1" applyAlignment="1">
      <alignment vertical="center" wrapText="1"/>
    </xf>
    <xf numFmtId="43" fontId="23" fillId="0" borderId="2" xfId="0" applyNumberFormat="1" applyFont="1" applyBorder="1" applyAlignment="1">
      <alignment vertical="center" wrapText="1"/>
    </xf>
    <xf numFmtId="43" fontId="23" fillId="0" borderId="6" xfId="0" applyNumberFormat="1" applyFont="1" applyBorder="1" applyAlignment="1">
      <alignment vertical="center" wrapText="1"/>
    </xf>
    <xf numFmtId="43" fontId="23" fillId="0" borderId="23" xfId="0" applyNumberFormat="1" applyFont="1" applyBorder="1" applyAlignment="1">
      <alignment horizontal="center" vertical="center" wrapText="1"/>
    </xf>
    <xf numFmtId="43" fontId="22" fillId="0" borderId="2" xfId="0" applyNumberFormat="1" applyFont="1" applyBorder="1" applyAlignment="1">
      <alignment horizontal="center" vertical="center" wrapText="1"/>
    </xf>
    <xf numFmtId="43" fontId="22" fillId="0" borderId="6" xfId="0" applyNumberFormat="1" applyFont="1" applyBorder="1" applyAlignment="1">
      <alignment horizontal="center" vertical="center" wrapText="1"/>
    </xf>
    <xf numFmtId="43" fontId="22" fillId="0" borderId="2" xfId="0" applyNumberFormat="1" applyFont="1" applyBorder="1" applyAlignment="1">
      <alignment horizontal="right" vertical="center" wrapText="1"/>
    </xf>
    <xf numFmtId="43" fontId="22" fillId="0" borderId="6" xfId="0" applyNumberFormat="1" applyFont="1" applyBorder="1" applyAlignment="1">
      <alignment horizontal="right" vertical="center" wrapText="1"/>
    </xf>
    <xf numFmtId="43" fontId="23" fillId="0" borderId="2" xfId="0" applyNumberFormat="1" applyFont="1" applyBorder="1" applyAlignment="1">
      <alignment horizontal="right" vertical="center" wrapText="1"/>
    </xf>
    <xf numFmtId="43" fontId="23" fillId="0" borderId="1" xfId="0" applyNumberFormat="1" applyFont="1" applyBorder="1" applyAlignment="1">
      <alignment horizontal="right" vertical="center" wrapText="1"/>
    </xf>
    <xf numFmtId="43" fontId="22" fillId="0" borderId="21" xfId="0" applyNumberFormat="1" applyFont="1" applyBorder="1" applyAlignment="1">
      <alignment horizontal="center" vertical="center" wrapText="1"/>
    </xf>
    <xf numFmtId="43" fontId="23" fillId="0" borderId="3" xfId="0" applyNumberFormat="1" applyFont="1" applyBorder="1" applyAlignment="1">
      <alignment horizontal="right" vertical="center" wrapText="1"/>
    </xf>
    <xf numFmtId="43" fontId="22" fillId="0" borderId="20" xfId="0" applyNumberFormat="1" applyFont="1" applyBorder="1" applyAlignment="1">
      <alignment horizontal="right" vertical="center" wrapText="1"/>
    </xf>
    <xf numFmtId="43" fontId="23" fillId="0" borderId="19" xfId="0" applyNumberFormat="1" applyFont="1" applyBorder="1" applyAlignment="1">
      <alignment horizontal="righ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43" fontId="23" fillId="0" borderId="20" xfId="0" applyNumberFormat="1" applyFont="1" applyBorder="1" applyAlignment="1">
      <alignment horizontal="right" vertical="center" wrapText="1"/>
    </xf>
    <xf numFmtId="43" fontId="22" fillId="0" borderId="19" xfId="0" applyNumberFormat="1" applyFont="1" applyBorder="1" applyAlignment="1">
      <alignment horizontal="center" vertical="center" wrapText="1"/>
    </xf>
    <xf numFmtId="43" fontId="21" fillId="0" borderId="3" xfId="0" applyNumberFormat="1" applyFont="1" applyBorder="1" applyAlignment="1">
      <alignment horizontal="right" vertical="center" wrapText="1"/>
    </xf>
    <xf numFmtId="43" fontId="2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4" fillId="0" borderId="8" xfId="0" applyFont="1" applyBorder="1" applyAlignment="1">
      <alignment wrapText="1"/>
    </xf>
    <xf numFmtId="43" fontId="24" fillId="0" borderId="9" xfId="7" applyFont="1" applyBorder="1" applyAlignment="1">
      <alignment wrapText="1"/>
    </xf>
    <xf numFmtId="43" fontId="4" fillId="0" borderId="7" xfId="0" applyNumberFormat="1" applyFont="1" applyBorder="1" applyAlignment="1">
      <alignment horizontal="right"/>
    </xf>
    <xf numFmtId="43" fontId="24" fillId="0" borderId="9" xfId="0" applyNumberFormat="1" applyFont="1" applyBorder="1" applyAlignment="1">
      <alignment horizontal="right" wrapText="1"/>
    </xf>
    <xf numFmtId="43" fontId="24" fillId="0" borderId="9" xfId="0" applyNumberFormat="1" applyFont="1" applyBorder="1" applyAlignment="1">
      <alignment wrapText="1"/>
    </xf>
    <xf numFmtId="43" fontId="2" fillId="0" borderId="2" xfId="0" applyNumberFormat="1" applyFont="1" applyBorder="1" applyAlignment="1">
      <alignment horizontal="center" wrapText="1"/>
    </xf>
    <xf numFmtId="43" fontId="3" fillId="0" borderId="2" xfId="7" applyFont="1" applyBorder="1" applyAlignment="1" applyProtection="1">
      <alignment wrapText="1"/>
    </xf>
    <xf numFmtId="43" fontId="23" fillId="0" borderId="2" xfId="0" applyNumberFormat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wrapText="1"/>
    </xf>
    <xf numFmtId="43" fontId="2" fillId="0" borderId="2" xfId="0" applyNumberFormat="1" applyFont="1" applyBorder="1" applyProtection="1"/>
    <xf numFmtId="44" fontId="0" fillId="0" borderId="0" xfId="52" applyFont="1"/>
    <xf numFmtId="0" fontId="3" fillId="3" borderId="2" xfId="0" applyFont="1" applyFill="1" applyBorder="1" applyAlignment="1">
      <alignment wrapText="1"/>
    </xf>
    <xf numFmtId="43" fontId="3" fillId="0" borderId="1" xfId="7" applyFont="1" applyFill="1" applyBorder="1" applyAlignment="1">
      <alignment wrapText="1"/>
    </xf>
    <xf numFmtId="43" fontId="21" fillId="0" borderId="2" xfId="0" applyNumberFormat="1" applyFont="1" applyBorder="1" applyAlignment="1">
      <alignment horizontal="right" vertical="center" wrapText="1"/>
    </xf>
    <xf numFmtId="43" fontId="3" fillId="0" borderId="2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43" fontId="23" fillId="0" borderId="3" xfId="0" applyNumberFormat="1" applyFont="1" applyFill="1" applyBorder="1" applyAlignment="1">
      <alignment horizontal="right" vertical="center" wrapText="1"/>
    </xf>
    <xf numFmtId="43" fontId="22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5" fillId="0" borderId="0" xfId="0" applyFont="1"/>
    <xf numFmtId="0" fontId="21" fillId="0" borderId="2" xfId="0" applyFont="1" applyBorder="1" applyAlignment="1">
      <alignment horizontal="center" wrapText="1"/>
    </xf>
    <xf numFmtId="43" fontId="21" fillId="0" borderId="2" xfId="7" applyNumberFormat="1" applyFont="1" applyBorder="1" applyAlignment="1">
      <alignment wrapText="1"/>
    </xf>
    <xf numFmtId="43" fontId="21" fillId="0" borderId="2" xfId="7" applyFont="1" applyBorder="1" applyAlignment="1" applyProtection="1">
      <alignment wrapText="1"/>
    </xf>
    <xf numFmtId="43" fontId="21" fillId="0" borderId="2" xfId="7" applyFont="1" applyBorder="1" applyAlignment="1">
      <alignment wrapText="1"/>
    </xf>
    <xf numFmtId="43" fontId="21" fillId="0" borderId="2" xfId="7" applyNumberFormat="1" applyFont="1" applyBorder="1" applyAlignment="1">
      <alignment horizontal="right" wrapText="1"/>
    </xf>
    <xf numFmtId="43" fontId="4" fillId="0" borderId="2" xfId="0" applyNumberFormat="1" applyFont="1" applyBorder="1" applyAlignment="1">
      <alignment wrapText="1"/>
    </xf>
    <xf numFmtId="43" fontId="21" fillId="0" borderId="1" xfId="7" applyFont="1" applyBorder="1" applyAlignment="1">
      <alignment wrapText="1"/>
    </xf>
    <xf numFmtId="43" fontId="4" fillId="0" borderId="9" xfId="0" applyNumberFormat="1" applyFont="1" applyBorder="1" applyAlignment="1">
      <alignment horizontal="right" wrapText="1"/>
    </xf>
    <xf numFmtId="43" fontId="21" fillId="0" borderId="2" xfId="7" applyNumberFormat="1" applyFont="1" applyBorder="1" applyAlignment="1">
      <alignment horizontal="center" wrapText="1"/>
    </xf>
    <xf numFmtId="43" fontId="4" fillId="2" borderId="2" xfId="0" applyNumberFormat="1" applyFont="1" applyFill="1" applyBorder="1" applyAlignment="1">
      <alignment wrapText="1"/>
    </xf>
    <xf numFmtId="43" fontId="21" fillId="0" borderId="1" xfId="7" applyFont="1" applyFill="1" applyBorder="1" applyAlignment="1">
      <alignment wrapText="1"/>
    </xf>
    <xf numFmtId="43" fontId="4" fillId="0" borderId="2" xfId="0" applyNumberFormat="1" applyFont="1" applyBorder="1" applyAlignment="1">
      <alignment horizontal="right" vertical="center" wrapText="1"/>
    </xf>
    <xf numFmtId="43" fontId="4" fillId="35" borderId="0" xfId="0" applyNumberFormat="1" applyFont="1" applyFill="1" applyAlignment="1">
      <alignment vertical="center"/>
    </xf>
    <xf numFmtId="43" fontId="21" fillId="0" borderId="2" xfId="0" applyNumberFormat="1" applyFont="1" applyBorder="1" applyAlignment="1">
      <alignment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0" xfId="0" applyNumberFormat="1" applyFont="1" applyBorder="1" applyAlignment="1">
      <alignment horizontal="right" vertical="center" wrapText="1"/>
    </xf>
    <xf numFmtId="43" fontId="21" fillId="0" borderId="2" xfId="0" applyNumberFormat="1" applyFont="1" applyFill="1" applyBorder="1" applyAlignment="1">
      <alignment horizontal="right" vertical="center" wrapText="1"/>
    </xf>
    <xf numFmtId="43" fontId="21" fillId="3" borderId="2" xfId="0" applyNumberFormat="1" applyFont="1" applyFill="1" applyBorder="1" applyAlignment="1">
      <alignment horizontal="right" vertical="center" wrapText="1"/>
    </xf>
    <xf numFmtId="43" fontId="21" fillId="0" borderId="20" xfId="0" applyNumberFormat="1" applyFont="1" applyBorder="1" applyAlignment="1">
      <alignment horizontal="right" vertical="center" wrapText="1"/>
    </xf>
    <xf numFmtId="43" fontId="4" fillId="0" borderId="19" xfId="0" applyNumberFormat="1" applyFont="1" applyBorder="1" applyAlignment="1">
      <alignment horizontal="center" vertical="center" wrapText="1"/>
    </xf>
    <xf numFmtId="43" fontId="21" fillId="0" borderId="0" xfId="0" applyNumberFormat="1" applyFont="1" applyBorder="1" applyAlignment="1">
      <alignment horizontal="right" vertical="center" wrapText="1"/>
    </xf>
    <xf numFmtId="43" fontId="4" fillId="0" borderId="0" xfId="0" applyNumberFormat="1" applyFont="1" applyAlignment="1">
      <alignment vertical="center"/>
    </xf>
    <xf numFmtId="0" fontId="21" fillId="0" borderId="0" xfId="0" applyFont="1" applyBorder="1" applyAlignment="1">
      <alignment wrapText="1"/>
    </xf>
    <xf numFmtId="43" fontId="23" fillId="0" borderId="0" xfId="0" applyNumberFormat="1" applyFont="1" applyBorder="1" applyAlignment="1">
      <alignment horizontal="center" vertical="center" wrapText="1"/>
    </xf>
    <xf numFmtId="43" fontId="23" fillId="3" borderId="2" xfId="0" applyNumberFormat="1" applyFont="1" applyFill="1" applyBorder="1" applyAlignment="1">
      <alignment horizontal="right" vertical="center" wrapText="1"/>
    </xf>
    <xf numFmtId="43" fontId="22" fillId="3" borderId="2" xfId="0" applyNumberFormat="1" applyFont="1" applyFill="1" applyBorder="1" applyAlignment="1">
      <alignment horizontal="right" vertical="center" wrapText="1"/>
    </xf>
    <xf numFmtId="43" fontId="22" fillId="3" borderId="21" xfId="0" applyNumberFormat="1" applyFont="1" applyFill="1" applyBorder="1" applyAlignment="1">
      <alignment horizontal="center" vertical="center" wrapText="1"/>
    </xf>
    <xf numFmtId="43" fontId="22" fillId="3" borderId="20" xfId="0" applyNumberFormat="1" applyFont="1" applyFill="1" applyBorder="1" applyAlignment="1">
      <alignment horizontal="right" vertical="center" wrapText="1"/>
    </xf>
    <xf numFmtId="43" fontId="22" fillId="3" borderId="19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wrapText="1"/>
    </xf>
    <xf numFmtId="43" fontId="4" fillId="0" borderId="2" xfId="0" applyNumberFormat="1" applyFont="1" applyBorder="1"/>
    <xf numFmtId="0" fontId="3" fillId="2" borderId="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3" fontId="2" fillId="0" borderId="2" xfId="7" applyNumberFormat="1" applyFont="1" applyFill="1" applyBorder="1" applyAlignment="1">
      <alignment wrapText="1"/>
    </xf>
    <xf numFmtId="43" fontId="2" fillId="0" borderId="9" xfId="7" applyFont="1" applyFill="1" applyBorder="1" applyAlignment="1">
      <alignment horizontal="right" wrapText="1"/>
    </xf>
    <xf numFmtId="43" fontId="3" fillId="0" borderId="0" xfId="7" applyFont="1"/>
    <xf numFmtId="43" fontId="29" fillId="0" borderId="2" xfId="0" applyNumberFormat="1" applyFont="1" applyBorder="1" applyAlignment="1">
      <alignment horizontal="right" vertical="center" wrapText="1"/>
    </xf>
    <xf numFmtId="43" fontId="2" fillId="0" borderId="2" xfId="7" applyFont="1" applyBorder="1" applyAlignment="1">
      <alignment horizontal="right" wrapText="1"/>
    </xf>
    <xf numFmtId="43" fontId="2" fillId="0" borderId="2" xfId="7" applyFont="1" applyBorder="1" applyAlignment="1">
      <alignment horizontal="right"/>
    </xf>
    <xf numFmtId="43" fontId="3" fillId="2" borderId="2" xfId="7" applyFont="1" applyFill="1" applyBorder="1" applyAlignment="1">
      <alignment horizontal="right" wrapText="1"/>
    </xf>
    <xf numFmtId="43" fontId="3" fillId="2" borderId="2" xfId="7" applyFont="1" applyFill="1" applyBorder="1" applyAlignment="1"/>
    <xf numFmtId="0" fontId="3" fillId="0" borderId="1" xfId="0" applyFont="1" applyBorder="1" applyAlignment="1">
      <alignment wrapText="1"/>
    </xf>
    <xf numFmtId="43" fontId="3" fillId="0" borderId="1" xfId="0" applyNumberFormat="1" applyFont="1" applyBorder="1" applyAlignment="1">
      <alignment horizontal="right" wrapText="1"/>
    </xf>
    <xf numFmtId="44" fontId="3" fillId="0" borderId="1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3" fontId="2" fillId="0" borderId="9" xfId="0" applyNumberFormat="1" applyFont="1" applyBorder="1" applyAlignment="1">
      <alignment wrapText="1"/>
    </xf>
    <xf numFmtId="43" fontId="2" fillId="0" borderId="9" xfId="0" applyNumberFormat="1" applyFont="1" applyBorder="1" applyAlignment="1">
      <alignment horizontal="right" wrapText="1"/>
    </xf>
    <xf numFmtId="49" fontId="21" fillId="0" borderId="5" xfId="0" applyNumberFormat="1" applyFont="1" applyBorder="1" applyAlignment="1">
      <alignment vertical="center" wrapText="1"/>
    </xf>
    <xf numFmtId="43" fontId="21" fillId="0" borderId="8" xfId="0" applyNumberFormat="1" applyFont="1" applyBorder="1" applyAlignment="1">
      <alignment horizontal="right" vertical="center" wrapText="1"/>
    </xf>
    <xf numFmtId="43" fontId="3" fillId="0" borderId="24" xfId="0" applyNumberFormat="1" applyFont="1" applyBorder="1" applyAlignment="1">
      <alignment wrapText="1"/>
    </xf>
    <xf numFmtId="43" fontId="3" fillId="0" borderId="2" xfId="7" applyFont="1" applyFill="1" applyBorder="1" applyAlignment="1"/>
    <xf numFmtId="0" fontId="0" fillId="3" borderId="6" xfId="7" applyNumberFormat="1" applyFont="1" applyFill="1" applyBorder="1" applyAlignment="1">
      <alignment horizontal="left" vertical="center" wrapText="1"/>
    </xf>
    <xf numFmtId="0" fontId="0" fillId="3" borderId="7" xfId="7" applyNumberFormat="1" applyFont="1" applyFill="1" applyBorder="1" applyAlignment="1">
      <alignment horizontal="left" vertical="center" wrapText="1"/>
    </xf>
    <xf numFmtId="0" fontId="0" fillId="3" borderId="4" xfId="7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0" fillId="35" borderId="6" xfId="7" applyNumberFormat="1" applyFont="1" applyFill="1" applyBorder="1" applyAlignment="1">
      <alignment horizontal="left" vertical="center" wrapText="1" readingOrder="1"/>
    </xf>
    <xf numFmtId="0" fontId="0" fillId="35" borderId="7" xfId="7" applyNumberFormat="1" applyFont="1" applyFill="1" applyBorder="1" applyAlignment="1">
      <alignment horizontal="left" vertical="center" readingOrder="1"/>
    </xf>
    <xf numFmtId="0" fontId="0" fillId="35" borderId="4" xfId="7" applyNumberFormat="1" applyFont="1" applyFill="1" applyBorder="1" applyAlignment="1">
      <alignment horizontal="left" vertical="center" readingOrder="1"/>
    </xf>
    <xf numFmtId="0" fontId="0" fillId="0" borderId="6" xfId="7" applyNumberFormat="1" applyFont="1" applyFill="1" applyBorder="1" applyAlignment="1">
      <alignment horizontal="left" vertical="center" wrapText="1"/>
    </xf>
    <xf numFmtId="0" fontId="0" fillId="0" borderId="7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>
      <alignment horizontal="left" vertical="center" wrapText="1"/>
    </xf>
    <xf numFmtId="0" fontId="0" fillId="0" borderId="6" xfId="7" applyNumberFormat="1" applyFont="1" applyBorder="1" applyAlignment="1">
      <alignment horizontal="left" vertical="center" wrapText="1"/>
    </xf>
    <xf numFmtId="0" fontId="0" fillId="0" borderId="7" xfId="7" applyNumberFormat="1" applyFont="1" applyBorder="1" applyAlignment="1">
      <alignment horizontal="left" vertical="center" wrapText="1"/>
    </xf>
    <xf numFmtId="0" fontId="0" fillId="0" borderId="4" xfId="7" applyNumberFormat="1" applyFont="1" applyBorder="1" applyAlignment="1">
      <alignment horizontal="left" vertical="center" wrapText="1"/>
    </xf>
    <xf numFmtId="0" fontId="25" fillId="3" borderId="6" xfId="7" applyNumberFormat="1" applyFont="1" applyFill="1" applyBorder="1" applyAlignment="1">
      <alignment horizontal="left" vertical="center" wrapText="1"/>
    </xf>
    <xf numFmtId="0" fontId="25" fillId="3" borderId="7" xfId="7" applyNumberFormat="1" applyFont="1" applyFill="1" applyBorder="1" applyAlignment="1">
      <alignment horizontal="left" vertical="center" wrapText="1"/>
    </xf>
    <xf numFmtId="0" fontId="25" fillId="3" borderId="4" xfId="7" applyNumberFormat="1" applyFont="1" applyFill="1" applyBorder="1" applyAlignment="1">
      <alignment horizontal="left" vertical="center" wrapText="1"/>
    </xf>
    <xf numFmtId="0" fontId="25" fillId="0" borderId="6" xfId="7" applyNumberFormat="1" applyFont="1" applyFill="1" applyBorder="1" applyAlignment="1">
      <alignment horizontal="left" vertical="center" wrapText="1"/>
    </xf>
    <xf numFmtId="0" fontId="25" fillId="0" borderId="7" xfId="7" applyNumberFormat="1" applyFont="1" applyFill="1" applyBorder="1" applyAlignment="1">
      <alignment horizontal="left" vertical="center" wrapText="1"/>
    </xf>
    <xf numFmtId="0" fontId="25" fillId="0" borderId="4" xfId="7" applyNumberFormat="1" applyFont="1" applyFill="1" applyBorder="1" applyAlignment="1">
      <alignment horizontal="left" vertical="center" wrapText="1"/>
    </xf>
    <xf numFmtId="0" fontId="25" fillId="0" borderId="6" xfId="7" applyNumberFormat="1" applyFont="1" applyFill="1" applyBorder="1" applyAlignment="1">
      <alignment horizontal="justify" vertical="center" wrapText="1" readingOrder="1"/>
    </xf>
    <xf numFmtId="0" fontId="25" fillId="0" borderId="7" xfId="7" applyNumberFormat="1" applyFont="1" applyFill="1" applyBorder="1" applyAlignment="1">
      <alignment horizontal="justify" vertical="center" wrapText="1" readingOrder="1"/>
    </xf>
    <xf numFmtId="0" fontId="25" fillId="0" borderId="4" xfId="7" applyNumberFormat="1" applyFont="1" applyFill="1" applyBorder="1" applyAlignment="1">
      <alignment horizontal="justify" vertical="center" wrapText="1" readingOrder="1"/>
    </xf>
    <xf numFmtId="0" fontId="0" fillId="0" borderId="6" xfId="7" applyNumberFormat="1" applyFont="1" applyFill="1" applyBorder="1" applyAlignment="1">
      <alignment horizontal="left" vertical="center" wrapText="1" readingOrder="1"/>
    </xf>
    <xf numFmtId="0" fontId="0" fillId="0" borderId="7" xfId="7" applyNumberFormat="1" applyFont="1" applyFill="1" applyBorder="1" applyAlignment="1">
      <alignment horizontal="left" vertical="center" wrapText="1" readingOrder="1"/>
    </xf>
    <xf numFmtId="0" fontId="0" fillId="0" borderId="4" xfId="7" applyNumberFormat="1" applyFont="1" applyFill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5" fillId="3" borderId="6" xfId="7" applyNumberFormat="1" applyFont="1" applyFill="1" applyBorder="1" applyAlignment="1">
      <alignment horizontal="left" vertical="center" wrapText="1" readingOrder="1"/>
    </xf>
    <xf numFmtId="0" fontId="25" fillId="3" borderId="7" xfId="7" applyNumberFormat="1" applyFont="1" applyFill="1" applyBorder="1" applyAlignment="1">
      <alignment horizontal="left" vertical="center" wrapText="1" readingOrder="1"/>
    </xf>
    <xf numFmtId="0" fontId="25" fillId="3" borderId="4" xfId="7" applyNumberFormat="1" applyFont="1" applyFill="1" applyBorder="1" applyAlignment="1">
      <alignment horizontal="left" vertical="center" wrapText="1" readingOrder="1"/>
    </xf>
    <xf numFmtId="0" fontId="4" fillId="3" borderId="6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/>
    </xf>
    <xf numFmtId="0" fontId="25" fillId="0" borderId="6" xfId="0" applyNumberFormat="1" applyFont="1" applyFill="1" applyBorder="1" applyAlignment="1">
      <alignment horizontal="left" vertical="center" wrapText="1"/>
    </xf>
    <xf numFmtId="0" fontId="25" fillId="0" borderId="7" xfId="0" applyNumberFormat="1" applyFont="1" applyFill="1" applyBorder="1" applyAlignment="1">
      <alignment horizontal="left" vertical="center" wrapText="1"/>
    </xf>
    <xf numFmtId="0" fontId="25" fillId="0" borderId="4" xfId="0" applyNumberFormat="1" applyFont="1" applyFill="1" applyBorder="1" applyAlignment="1">
      <alignment horizontal="left" vertical="center" wrapText="1"/>
    </xf>
    <xf numFmtId="0" fontId="25" fillId="3" borderId="6" xfId="0" applyNumberFormat="1" applyFont="1" applyFill="1" applyBorder="1" applyAlignment="1">
      <alignment horizontal="left" vertical="center" wrapText="1"/>
    </xf>
    <xf numFmtId="0" fontId="25" fillId="3" borderId="7" xfId="0" applyNumberFormat="1" applyFont="1" applyFill="1" applyBorder="1" applyAlignment="1">
      <alignment horizontal="left" vertical="center" wrapText="1"/>
    </xf>
    <xf numFmtId="0" fontId="25" fillId="3" borderId="4" xfId="0" applyNumberFormat="1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" xfId="52" builtinId="4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13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bottom" textRotation="0" wrapText="0" indent="0" justifyLastLine="0" shrinkToFit="0" readingOrder="0"/>
      <border diagonalUp="0" diagonalDown="0" outline="0">
        <left/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 style="medium">
          <color rgb="FFCFCFCF"/>
        </bottom>
      </border>
    </dxf>
    <dxf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CFCFCF"/>
        </bottom>
      </border>
    </dxf>
    <dxf>
      <border outline="0">
        <top style="medium">
          <color rgb="FFCFCFCF"/>
        </top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border outline="0"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relative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top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rgb="FFCFCFCF"/>
        </bottom>
      </border>
    </dxf>
    <dxf>
      <border outline="0">
        <top style="medium">
          <color rgb="FFCFCFCF"/>
        </top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4" formatCode="#,##0.00"/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numFmt numFmtId="34" formatCode="_-&quot;R$&quot;\ * #,##0.00_-;\-&quot;R$&quot;\ * #,##0.00_-;_-&quot;R$&quot;\ * &quot;-&quot;??_-;_-@_-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a2" displayName="Tabela2" ref="A3:N26" headerRowCount="0" totalsRowCount="1" headerRowDxfId="134" dataDxfId="133">
  <tableColumns count="14">
    <tableColumn id="1" name="Colunas1" headerRowDxfId="132" dataDxfId="131" totalsRowDxfId="39"/>
    <tableColumn id="2" name="Colunas2" headerRowDxfId="130" totalsRowDxfId="38"/>
    <tableColumn id="3" name="Colunas3" headerRowDxfId="129" dataDxfId="128" totalsRowDxfId="37"/>
    <tableColumn id="4" name="Colunas4" headerRowDxfId="127" dataDxfId="126" totalsRowDxfId="36"/>
    <tableColumn id="5" name="Colunas5" headerRowDxfId="125" totalsRowDxfId="35"/>
    <tableColumn id="6" name="Colunas6" headerRowDxfId="124" dataDxfId="123" totalsRowDxfId="34"/>
    <tableColumn id="7" name="Colunas7" headerRowDxfId="122" dataDxfId="121" totalsRowDxfId="33"/>
    <tableColumn id="8" name="Colunas8" headerRowDxfId="120" dataDxfId="119" totalsRowDxfId="32"/>
    <tableColumn id="9" name="Colunas9" headerRowDxfId="118" totalsRowDxfId="31"/>
    <tableColumn id="10" name="Colunas10" headerRowDxfId="117" dataDxfId="116" totalsRowDxfId="30"/>
    <tableColumn id="11" name="Colunas11" headerRowDxfId="115" dataDxfId="114" totalsRowDxfId="29"/>
    <tableColumn id="12" name="Colunas12" headerRowDxfId="113" dataDxfId="112" totalsRowDxfId="28"/>
    <tableColumn id="13" name="Colunas13" headerRowDxfId="111" dataDxfId="110" totalsRowDxfId="27"/>
    <tableColumn id="14" name="Colunas14" dataDxfId="109" totalsRowDxfId="26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4" name="Tabela4" displayName="Tabela4" ref="A43:A54" headerRowCount="0" totalsRowShown="0" headerRowDxfId="108" dataDxfId="106" headerRowBorderDxfId="107" tableBorderDxfId="105" totalsRowBorderDxfId="104">
  <tableColumns count="1">
    <tableColumn id="1" name="Colunas1" headerRowDxfId="103" dataDxfId="10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28:M32" headerRowCount="0" totalsRowCount="1" headerRowDxfId="101" dataDxfId="100" tableBorderDxfId="99">
  <tableColumns count="13">
    <tableColumn id="1" name="Colunas1" headerRowDxfId="98" dataDxfId="97" totalsRowDxfId="25"/>
    <tableColumn id="2" name="Colunas2" headerRowDxfId="96" dataDxfId="95" totalsRowDxfId="24"/>
    <tableColumn id="3" name="Colunas3" headerRowDxfId="94" dataDxfId="93" totalsRowDxfId="23"/>
    <tableColumn id="4" name="Colunas4" headerRowDxfId="92" dataDxfId="91" totalsRowDxfId="22"/>
    <tableColumn id="5" name="Colunas5" headerRowDxfId="90" dataDxfId="89" totalsRowDxfId="21"/>
    <tableColumn id="6" name="Colunas6" headerRowDxfId="88" dataDxfId="87" totalsRowDxfId="20"/>
    <tableColumn id="7" name="Colunas7" headerRowDxfId="86" dataDxfId="85" totalsRowDxfId="19"/>
    <tableColumn id="8" name="Colunas8" headerRowDxfId="84" dataDxfId="83" totalsRowDxfId="18"/>
    <tableColumn id="9" name="Colunas9" headerRowDxfId="82" dataDxfId="81" totalsRowDxfId="17"/>
    <tableColumn id="10" name="Colunas10" headerRowDxfId="80" dataDxfId="79" totalsRowDxfId="16"/>
    <tableColumn id="11" name="Colunas11" headerRowDxfId="78" dataDxfId="77" totalsRowDxfId="15"/>
    <tableColumn id="12" name="Colunas12" headerRowDxfId="76" dataDxfId="75" totalsRowDxfId="14"/>
    <tableColumn id="13" name="Colunas13" headerRowDxfId="74" dataDxfId="73" totalsRowDxfId="13"/>
  </tableColumns>
  <tableStyleInfo name="TableStyleMedium2" showFirstColumn="0" showLastColumn="0" showRowStripes="0" showColumnStripes="1"/>
</table>
</file>

<file path=xl/tables/table4.xml><?xml version="1.0" encoding="utf-8"?>
<table xmlns="http://schemas.openxmlformats.org/spreadsheetml/2006/main" id="5" name="Tabela16" displayName="Tabela16" ref="A3:M50" headerRowCount="0" totalsRowCount="1" headerRowDxfId="72" dataDxfId="71" tableBorderDxfId="70">
  <tableColumns count="13">
    <tableColumn id="1" name="Coluna1" headerRowDxfId="69" dataDxfId="68" totalsRowDxfId="12"/>
    <tableColumn id="2" name="Coluna2" headerRowDxfId="67" totalsRowDxfId="11"/>
    <tableColumn id="3" name="Coluna3" headerRowDxfId="66" dataDxfId="65" totalsRowDxfId="10"/>
    <tableColumn id="4" name="Coluna4" headerRowDxfId="64" dataDxfId="63" totalsRowDxfId="9"/>
    <tableColumn id="5" name="Coluna5" headerRowDxfId="62" dataDxfId="61" totalsRowDxfId="8"/>
    <tableColumn id="6" name="Coluna6" headerRowDxfId="60" dataDxfId="59" totalsRowDxfId="7"/>
    <tableColumn id="7" name="Coluna7" headerRowDxfId="58" dataDxfId="57" totalsRowDxfId="6"/>
    <tableColumn id="8" name="Coluna8" headerRowDxfId="56" totalsRowDxfId="5"/>
    <tableColumn id="9" name="Coluna9" headerRowDxfId="55" totalsRowDxfId="4"/>
    <tableColumn id="10" name="Coluna10" headerRowDxfId="54" dataDxfId="53" totalsRowDxfId="3"/>
    <tableColumn id="11" name="Coluna11" headerRowDxfId="52" dataDxfId="51" totalsRowDxfId="2"/>
    <tableColumn id="12" name="Coluna12" headerRowDxfId="50" dataDxfId="49" totalsRowDxfId="1"/>
    <tableColumn id="13" name="Coluna13" headerRowDxfId="48" dataDxfId="47" totalsRowDxfId="0"/>
  </tableColumns>
  <tableStyleInfo name="TableStyleLight16" showFirstColumn="0" showLastColumn="0" showRowStripes="0" showColumnStripes="1"/>
</table>
</file>

<file path=xl/tables/table5.xml><?xml version="1.0" encoding="utf-8"?>
<table xmlns="http://schemas.openxmlformats.org/spreadsheetml/2006/main" id="6" name="Tabela37" displayName="Tabela37" ref="A57:A68" headerRowCount="0" totalsRowShown="0" headerRowDxfId="46" dataDxfId="44" headerRowBorderDxfId="45" tableBorderDxfId="43" totalsRowBorderDxfId="42">
  <tableColumns count="1">
    <tableColumn id="1" name="Coluna1" headerRowDxfId="41" dataDxfId="4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showGridLines="0" view="pageLayout" topLeftCell="A49" zoomScale="93" zoomScaleNormal="85" zoomScalePageLayoutView="93" workbookViewId="0">
      <selection activeCell="B54" sqref="B54:M54"/>
    </sheetView>
  </sheetViews>
  <sheetFormatPr defaultRowHeight="15" x14ac:dyDescent="0.25"/>
  <cols>
    <col min="1" max="1" width="49.28515625" style="3" bestFit="1" customWidth="1"/>
    <col min="2" max="2" width="14.85546875" style="7" bestFit="1" customWidth="1"/>
    <col min="3" max="4" width="15.140625" style="3" bestFit="1" customWidth="1"/>
    <col min="5" max="5" width="15.140625" style="99" bestFit="1" customWidth="1"/>
    <col min="6" max="10" width="15.140625" style="28" bestFit="1" customWidth="1"/>
    <col min="11" max="11" width="15.28515625" style="28" customWidth="1"/>
    <col min="12" max="12" width="15.140625" style="28" bestFit="1" customWidth="1"/>
    <col min="13" max="13" width="15.28515625" style="28" bestFit="1" customWidth="1"/>
    <col min="14" max="14" width="14.85546875" style="24" bestFit="1" customWidth="1"/>
    <col min="15" max="15" width="9.140625" style="3"/>
    <col min="16" max="16" width="17" style="1" bestFit="1" customWidth="1"/>
    <col min="17" max="16384" width="9.140625" style="1"/>
  </cols>
  <sheetData>
    <row r="1" spans="1:16" ht="15" customHeight="1" thickBot="1" x14ac:dyDescent="0.3"/>
    <row r="2" spans="1:16" ht="16.5" thickBot="1" x14ac:dyDescent="0.3">
      <c r="A2" s="156" t="s">
        <v>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6" ht="16.5" thickBot="1" x14ac:dyDescent="0.3">
      <c r="A3" s="4" t="s">
        <v>21</v>
      </c>
      <c r="B3" s="11" t="s">
        <v>7</v>
      </c>
      <c r="C3" s="12" t="s">
        <v>8</v>
      </c>
      <c r="D3" s="12" t="s">
        <v>9</v>
      </c>
      <c r="E3" s="100" t="s">
        <v>10</v>
      </c>
      <c r="F3" s="29" t="s">
        <v>11</v>
      </c>
      <c r="G3" s="29" t="s">
        <v>25</v>
      </c>
      <c r="H3" s="29" t="s">
        <v>26</v>
      </c>
      <c r="I3" s="29" t="s">
        <v>1</v>
      </c>
      <c r="J3" s="29" t="s">
        <v>2</v>
      </c>
      <c r="K3" s="29" t="s">
        <v>4</v>
      </c>
      <c r="L3" s="29" t="s">
        <v>5</v>
      </c>
      <c r="M3" s="29" t="s">
        <v>6</v>
      </c>
      <c r="N3" s="34" t="s">
        <v>3</v>
      </c>
    </row>
    <row r="4" spans="1:16" ht="16.5" thickBot="1" x14ac:dyDescent="0.3">
      <c r="A4" s="6" t="s">
        <v>12</v>
      </c>
      <c r="B4" s="8">
        <v>339377.17</v>
      </c>
      <c r="C4" s="41">
        <f>B25</f>
        <v>1462318.0100000007</v>
      </c>
      <c r="D4" s="41">
        <f>C25</f>
        <v>1758793.830000001</v>
      </c>
      <c r="E4" s="41">
        <f>D25</f>
        <v>2039040.0900000008</v>
      </c>
      <c r="F4" s="41">
        <f>E25</f>
        <v>2288495.6200000015</v>
      </c>
      <c r="G4" s="41">
        <v>2490618.9900000007</v>
      </c>
      <c r="H4" s="41">
        <v>2818930.5000000005</v>
      </c>
      <c r="I4" s="41">
        <v>2920087.38</v>
      </c>
      <c r="J4" s="41">
        <v>3226795.1799999997</v>
      </c>
      <c r="K4" s="41">
        <v>3212050.1100000003</v>
      </c>
      <c r="L4" s="41">
        <v>3382569.83</v>
      </c>
      <c r="M4" s="18">
        <v>2761389.9299999992</v>
      </c>
      <c r="N4" s="35"/>
    </row>
    <row r="5" spans="1:16" ht="16.5" thickBot="1" x14ac:dyDescent="0.3">
      <c r="A5" s="5" t="s">
        <v>22</v>
      </c>
      <c r="B5" s="42"/>
      <c r="C5" s="43"/>
      <c r="D5" s="43"/>
      <c r="E5" s="101"/>
      <c r="F5" s="43"/>
      <c r="G5" s="43"/>
      <c r="H5" s="43"/>
      <c r="I5" s="16"/>
      <c r="J5" s="16"/>
      <c r="K5" s="16"/>
      <c r="L5" s="16"/>
      <c r="M5" s="16"/>
      <c r="N5" s="35"/>
    </row>
    <row r="6" spans="1:16" ht="16.5" thickBot="1" x14ac:dyDescent="0.3">
      <c r="A6" s="5" t="s">
        <v>29</v>
      </c>
      <c r="B6" s="8">
        <v>4183000</v>
      </c>
      <c r="C6" s="40">
        <v>2583000</v>
      </c>
      <c r="D6" s="40">
        <v>2583000</v>
      </c>
      <c r="E6" s="40">
        <v>2583000</v>
      </c>
      <c r="F6" s="41">
        <v>2583000</v>
      </c>
      <c r="G6" s="41">
        <v>2583000</v>
      </c>
      <c r="H6" s="18">
        <v>2587800</v>
      </c>
      <c r="I6" s="18">
        <v>2587800</v>
      </c>
      <c r="J6" s="18">
        <v>2587800</v>
      </c>
      <c r="K6" s="18">
        <v>2583000</v>
      </c>
      <c r="L6" s="86">
        <v>2583000</v>
      </c>
      <c r="M6" s="18">
        <v>2583000</v>
      </c>
      <c r="N6" s="35">
        <f>SUM(Tabela2[[#This Row],[Colunas2]:[Colunas13]])</f>
        <v>32610400</v>
      </c>
    </row>
    <row r="7" spans="1:16" ht="16.5" thickBot="1" x14ac:dyDescent="0.3">
      <c r="A7" s="5" t="s">
        <v>13</v>
      </c>
      <c r="B7" s="8">
        <v>9590.31</v>
      </c>
      <c r="C7" s="40">
        <v>9196.91</v>
      </c>
      <c r="D7" s="40">
        <v>10046.56</v>
      </c>
      <c r="E7" s="40">
        <v>11785.68</v>
      </c>
      <c r="F7" s="41">
        <v>13708.92</v>
      </c>
      <c r="G7" s="41">
        <v>13056.16</v>
      </c>
      <c r="H7" s="18">
        <v>15587.28</v>
      </c>
      <c r="I7" s="18">
        <v>16060.25</v>
      </c>
      <c r="J7" s="18">
        <v>14888.04</v>
      </c>
      <c r="K7" s="18">
        <v>15787.48</v>
      </c>
      <c r="L7" s="18">
        <v>12607.61</v>
      </c>
      <c r="M7" s="18">
        <v>9595.57</v>
      </c>
      <c r="N7" s="35">
        <f>SUM(Tabela2[[#This Row],[Colunas2]:[Colunas13]])</f>
        <v>151910.76999999999</v>
      </c>
    </row>
    <row r="8" spans="1:16" ht="16.5" thickBot="1" x14ac:dyDescent="0.3">
      <c r="A8" s="5" t="s">
        <v>14</v>
      </c>
      <c r="B8" s="8"/>
      <c r="C8" s="40"/>
      <c r="D8" s="40"/>
      <c r="E8" s="40"/>
      <c r="F8" s="41"/>
      <c r="G8" s="41"/>
      <c r="H8" s="18"/>
      <c r="I8" s="132"/>
      <c r="J8" s="18"/>
      <c r="K8" s="18"/>
      <c r="L8" s="18"/>
      <c r="M8" s="18"/>
      <c r="N8" s="35">
        <f>SUM(Tabela2[[#This Row],[Colunas2]:[Colunas13]])</f>
        <v>0</v>
      </c>
      <c r="P8" s="87"/>
    </row>
    <row r="9" spans="1:16" ht="16.5" thickBot="1" x14ac:dyDescent="0.3">
      <c r="A9" s="4" t="s">
        <v>3</v>
      </c>
      <c r="B9" s="83">
        <f t="shared" ref="B9:F9" si="0">SUM(B6:B8)</f>
        <v>4192590.31</v>
      </c>
      <c r="C9" s="83">
        <f t="shared" si="0"/>
        <v>2592196.91</v>
      </c>
      <c r="D9" s="83">
        <f t="shared" si="0"/>
        <v>2593046.56</v>
      </c>
      <c r="E9" s="102">
        <f t="shared" si="0"/>
        <v>2594785.6800000002</v>
      </c>
      <c r="F9" s="83">
        <f t="shared" si="0"/>
        <v>2596708.92</v>
      </c>
      <c r="G9" s="83">
        <f t="shared" ref="G9:L9" si="1">SUM(G6:G8)</f>
        <v>2596056.16</v>
      </c>
      <c r="H9" s="83">
        <f t="shared" si="1"/>
        <v>2603387.2799999998</v>
      </c>
      <c r="I9" s="83">
        <f t="shared" si="1"/>
        <v>2603860.25</v>
      </c>
      <c r="J9" s="83">
        <f t="shared" si="1"/>
        <v>2602688.04</v>
      </c>
      <c r="K9" s="83">
        <f t="shared" si="1"/>
        <v>2598787.48</v>
      </c>
      <c r="L9" s="83">
        <f t="shared" si="1"/>
        <v>2595607.61</v>
      </c>
      <c r="M9" s="83">
        <v>2592595.5699999998</v>
      </c>
      <c r="N9" s="35">
        <f>SUM(Tabela2[[#This Row],[Colunas2]:[Colunas13]])</f>
        <v>32762310.77</v>
      </c>
      <c r="P9" s="87"/>
    </row>
    <row r="10" spans="1:16" ht="16.5" thickBot="1" x14ac:dyDescent="0.3">
      <c r="A10" s="5" t="s">
        <v>15</v>
      </c>
      <c r="B10" s="8"/>
      <c r="C10" s="40"/>
      <c r="D10" s="40"/>
      <c r="E10" s="40"/>
      <c r="F10" s="41"/>
      <c r="G10" s="41"/>
      <c r="H10" s="18"/>
      <c r="I10" s="18"/>
      <c r="J10" s="18"/>
      <c r="K10" s="18"/>
      <c r="L10" s="18"/>
      <c r="M10" s="18"/>
      <c r="N10" s="35"/>
      <c r="P10" s="87"/>
    </row>
    <row r="11" spans="1:16" ht="16.5" thickBot="1" x14ac:dyDescent="0.3">
      <c r="A11" s="4" t="s">
        <v>16</v>
      </c>
      <c r="B11" s="42">
        <f>SUM(B12:B15)</f>
        <v>1580813.81</v>
      </c>
      <c r="C11" s="42">
        <f t="shared" ref="C11" si="2">SUM(C12:C15)</f>
        <v>1403868.1600000001</v>
      </c>
      <c r="D11" s="42">
        <f t="shared" ref="D11:L11" si="3">SUM(D12:D15)</f>
        <v>1385073.2700000003</v>
      </c>
      <c r="E11" s="103">
        <f t="shared" si="3"/>
        <v>1321457.9700000002</v>
      </c>
      <c r="F11" s="42">
        <f t="shared" si="3"/>
        <v>1427774.62</v>
      </c>
      <c r="G11" s="42">
        <f t="shared" si="3"/>
        <v>1383901.58</v>
      </c>
      <c r="H11" s="42">
        <f t="shared" si="3"/>
        <v>1392653.1400000001</v>
      </c>
      <c r="I11" s="42">
        <f t="shared" si="3"/>
        <v>1348804.31</v>
      </c>
      <c r="J11" s="42">
        <f t="shared" si="3"/>
        <v>1431195.92</v>
      </c>
      <c r="K11" s="42">
        <f t="shared" si="3"/>
        <v>1440000.8399999999</v>
      </c>
      <c r="L11" s="42">
        <f t="shared" si="3"/>
        <v>1954084.6900000002</v>
      </c>
      <c r="M11" s="42">
        <v>2123651.62</v>
      </c>
      <c r="N11" s="35">
        <f>SUM(Tabela2[[#This Row],[Colunas2]:[Colunas13]])</f>
        <v>18193279.93</v>
      </c>
      <c r="P11" s="87"/>
    </row>
    <row r="12" spans="1:16" ht="16.5" thickBot="1" x14ac:dyDescent="0.3">
      <c r="A12" s="5" t="s">
        <v>30</v>
      </c>
      <c r="B12" s="140">
        <v>940364.91</v>
      </c>
      <c r="C12" s="40">
        <v>908513.43</v>
      </c>
      <c r="D12" s="40">
        <v>904898.04000000015</v>
      </c>
      <c r="E12" s="40">
        <v>886095.93000000017</v>
      </c>
      <c r="F12" s="41">
        <v>900409.19</v>
      </c>
      <c r="G12" s="41">
        <v>897022.77</v>
      </c>
      <c r="H12" s="18">
        <v>922323.66000000015</v>
      </c>
      <c r="I12" s="18">
        <v>894674.36</v>
      </c>
      <c r="J12" s="18">
        <v>959923.87</v>
      </c>
      <c r="K12" s="18">
        <v>956886.37999999989</v>
      </c>
      <c r="L12" s="18">
        <v>961633.87000000023</v>
      </c>
      <c r="M12" s="18">
        <v>1045346.73</v>
      </c>
      <c r="N12" s="35">
        <f>SUM(Tabela2[[#This Row],[Colunas2]:[Colunas13]])</f>
        <v>11178093.140000001</v>
      </c>
      <c r="P12" s="87"/>
    </row>
    <row r="13" spans="1:16" ht="16.5" thickBot="1" x14ac:dyDescent="0.3">
      <c r="A13" s="5" t="s">
        <v>31</v>
      </c>
      <c r="B13" s="140">
        <v>-6162.08</v>
      </c>
      <c r="C13" s="40">
        <v>924.13</v>
      </c>
      <c r="D13" s="40">
        <v>4338.96</v>
      </c>
      <c r="E13" s="40">
        <v>3287.9</v>
      </c>
      <c r="F13" s="41">
        <v>2434.12</v>
      </c>
      <c r="G13" s="41">
        <v>8034.67</v>
      </c>
      <c r="H13" s="18">
        <v>4322.41</v>
      </c>
      <c r="I13" s="18">
        <v>3740.04</v>
      </c>
      <c r="J13" s="47">
        <v>10346.08</v>
      </c>
      <c r="K13" s="18">
        <v>0</v>
      </c>
      <c r="L13" s="47">
        <v>499325.68</v>
      </c>
      <c r="M13" s="18">
        <v>429025.19</v>
      </c>
      <c r="N13" s="35">
        <f>SUM(Tabela2[[#This Row],[Colunas2]:[Colunas13]])</f>
        <v>959617.10000000009</v>
      </c>
      <c r="P13" s="87"/>
    </row>
    <row r="14" spans="1:16" ht="16.5" thickBot="1" x14ac:dyDescent="0.3">
      <c r="A14" s="5" t="s">
        <v>32</v>
      </c>
      <c r="B14" s="140">
        <v>120876.6</v>
      </c>
      <c r="C14" s="40">
        <v>92167.13</v>
      </c>
      <c r="D14" s="40">
        <v>90929.279999999999</v>
      </c>
      <c r="E14" s="40">
        <v>67914.83</v>
      </c>
      <c r="F14" s="41">
        <v>73524.75</v>
      </c>
      <c r="G14" s="41">
        <v>108877.9</v>
      </c>
      <c r="H14" s="18">
        <v>113371.35</v>
      </c>
      <c r="I14" s="18">
        <v>92291.39</v>
      </c>
      <c r="J14" s="18">
        <v>84871.99</v>
      </c>
      <c r="K14" s="18">
        <v>87241.82</v>
      </c>
      <c r="L14" s="18">
        <v>101616.91</v>
      </c>
      <c r="M14" s="18">
        <v>149682.28</v>
      </c>
      <c r="N14" s="35">
        <f>SUM(Tabela2[[#This Row],[Colunas2]:[Colunas13]])</f>
        <v>1183366.23</v>
      </c>
      <c r="P14" s="87"/>
    </row>
    <row r="15" spans="1:16" ht="16.5" thickBot="1" x14ac:dyDescent="0.3">
      <c r="A15" s="5" t="s">
        <v>0</v>
      </c>
      <c r="B15" s="140">
        <v>525734.38</v>
      </c>
      <c r="C15" s="40">
        <v>402263.47000000003</v>
      </c>
      <c r="D15" s="40">
        <v>384906.99000000005</v>
      </c>
      <c r="E15" s="40">
        <v>364159.31</v>
      </c>
      <c r="F15" s="41">
        <v>451406.56000000011</v>
      </c>
      <c r="G15" s="41">
        <v>369966.24000000011</v>
      </c>
      <c r="H15" s="18">
        <v>352635.71999999991</v>
      </c>
      <c r="I15" s="18">
        <v>358098.52</v>
      </c>
      <c r="J15" s="18">
        <v>376053.9800000001</v>
      </c>
      <c r="K15" s="18">
        <v>395872.64</v>
      </c>
      <c r="L15" s="18">
        <v>391508.23</v>
      </c>
      <c r="M15" s="18">
        <v>499597.4200000001</v>
      </c>
      <c r="N15" s="35">
        <f>SUM(Tabela2[[#This Row],[Colunas2]:[Colunas13]])</f>
        <v>4872203.4600000009</v>
      </c>
    </row>
    <row r="16" spans="1:16" ht="16.5" thickBot="1" x14ac:dyDescent="0.3">
      <c r="A16" s="5" t="s">
        <v>33</v>
      </c>
      <c r="B16" s="140">
        <v>456748.06</v>
      </c>
      <c r="C16" s="40">
        <v>444610.5199999999</v>
      </c>
      <c r="D16" s="40">
        <v>470695.72000000003</v>
      </c>
      <c r="E16" s="40">
        <v>482666.64</v>
      </c>
      <c r="F16" s="44">
        <v>508780.81999999983</v>
      </c>
      <c r="G16" s="41">
        <v>446883.11999999994</v>
      </c>
      <c r="H16" s="18">
        <v>494810.30999999994</v>
      </c>
      <c r="I16" s="18">
        <v>570786.01</v>
      </c>
      <c r="J16" s="18">
        <v>560138.44000000006</v>
      </c>
      <c r="K16" s="18">
        <v>534359.12000000011</v>
      </c>
      <c r="L16" s="18">
        <v>575017.94999999995</v>
      </c>
      <c r="M16" s="18">
        <v>462420.98000000004</v>
      </c>
      <c r="N16" s="35">
        <f>SUM(Tabela2[[#This Row],[Colunas2]:[Colunas13]])</f>
        <v>6007917.6900000013</v>
      </c>
    </row>
    <row r="17" spans="1:15" ht="16.5" thickBot="1" x14ac:dyDescent="0.3">
      <c r="A17" s="5" t="s">
        <v>17</v>
      </c>
      <c r="B17" s="140">
        <v>320909.4700000002</v>
      </c>
      <c r="C17" s="40">
        <v>207588.28</v>
      </c>
      <c r="D17" s="40">
        <v>269148.93999999983</v>
      </c>
      <c r="E17" s="40">
        <v>391734.02000000008</v>
      </c>
      <c r="F17" s="41">
        <v>283527.14000000013</v>
      </c>
      <c r="G17" s="41">
        <v>322103.4800000001</v>
      </c>
      <c r="H17" s="18">
        <v>484389.58000000019</v>
      </c>
      <c r="I17" s="18">
        <v>233836.36000000004</v>
      </c>
      <c r="J17" s="18">
        <v>472278.56</v>
      </c>
      <c r="K17" s="18">
        <v>293594.87999999995</v>
      </c>
      <c r="L17" s="18">
        <v>527424.1</v>
      </c>
      <c r="M17" s="18">
        <v>313514.39999999997</v>
      </c>
      <c r="N17" s="35">
        <f>SUM(Tabela2[[#This Row],[Colunas2]:[Colunas13]])</f>
        <v>4120049.2100000004</v>
      </c>
    </row>
    <row r="18" spans="1:15" ht="16.5" thickBot="1" x14ac:dyDescent="0.3">
      <c r="A18" s="5" t="s">
        <v>18</v>
      </c>
      <c r="B18" s="140">
        <v>4450.26</v>
      </c>
      <c r="C18" s="40">
        <v>300.13</v>
      </c>
      <c r="D18" s="40">
        <v>0</v>
      </c>
      <c r="E18" s="40">
        <v>2120.7799999999997</v>
      </c>
      <c r="F18" s="41">
        <v>1030.2</v>
      </c>
      <c r="G18" s="41">
        <v>650.1</v>
      </c>
      <c r="H18" s="18">
        <v>300.10000000000002</v>
      </c>
      <c r="I18" s="18">
        <v>0</v>
      </c>
      <c r="J18" s="18">
        <v>17267.84</v>
      </c>
      <c r="K18" s="18">
        <v>300.10000000000002</v>
      </c>
      <c r="L18" s="18">
        <v>13509.95</v>
      </c>
      <c r="M18" s="18">
        <v>16809.09</v>
      </c>
      <c r="N18" s="35">
        <f>SUM(Tabela2[[#This Row],[Colunas2]:[Colunas13]])</f>
        <v>56738.55</v>
      </c>
    </row>
    <row r="19" spans="1:15" ht="16.5" thickBot="1" x14ac:dyDescent="0.3">
      <c r="A19" s="5" t="s">
        <v>19</v>
      </c>
      <c r="B19" s="140">
        <v>340000</v>
      </c>
      <c r="C19" s="40">
        <v>44606</v>
      </c>
      <c r="D19" s="40">
        <v>0</v>
      </c>
      <c r="E19" s="40">
        <v>3835</v>
      </c>
      <c r="F19" s="41">
        <v>0</v>
      </c>
      <c r="G19" s="41">
        <v>0</v>
      </c>
      <c r="H19" s="18">
        <v>0</v>
      </c>
      <c r="I19" s="18">
        <v>500</v>
      </c>
      <c r="J19" s="18">
        <v>1680</v>
      </c>
      <c r="K19" s="18">
        <v>0</v>
      </c>
      <c r="L19" s="18">
        <v>0</v>
      </c>
      <c r="M19" s="18">
        <v>0</v>
      </c>
      <c r="N19" s="35">
        <f>SUM(Tabela2[[#This Row],[Colunas2]:[Colunas13]])</f>
        <v>390621</v>
      </c>
    </row>
    <row r="20" spans="1:15" ht="16.5" thickBot="1" x14ac:dyDescent="0.3">
      <c r="A20" s="98" t="s">
        <v>34</v>
      </c>
      <c r="B20" s="140">
        <v>142895.62999999998</v>
      </c>
      <c r="C20" s="40">
        <v>88925.040000000008</v>
      </c>
      <c r="D20" s="40">
        <v>112132.34</v>
      </c>
      <c r="E20" s="40">
        <v>73563.320000000007</v>
      </c>
      <c r="F20" s="41">
        <v>99232.13</v>
      </c>
      <c r="G20" s="41">
        <v>49536.03</v>
      </c>
      <c r="H20" s="18">
        <v>70046.73</v>
      </c>
      <c r="I20" s="18">
        <v>69180.789999999994</v>
      </c>
      <c r="J20" s="18">
        <v>73031.69</v>
      </c>
      <c r="K20" s="18">
        <v>96527.8</v>
      </c>
      <c r="L20" s="18">
        <v>88216.25</v>
      </c>
      <c r="M20" s="18">
        <v>86503.180000000008</v>
      </c>
      <c r="N20" s="35">
        <f>SUM(Tabela2[[#This Row],[Colunas2]:[Colunas13]])</f>
        <v>1049790.93</v>
      </c>
    </row>
    <row r="21" spans="1:15" ht="16.5" thickBot="1" x14ac:dyDescent="0.3">
      <c r="A21" s="5" t="s">
        <v>20</v>
      </c>
      <c r="B21" s="140">
        <v>611.68999999999994</v>
      </c>
      <c r="C21" s="40">
        <v>515.1</v>
      </c>
      <c r="D21" s="40">
        <v>508.29999999999995</v>
      </c>
      <c r="E21" s="40">
        <v>506.53000000000003</v>
      </c>
      <c r="F21" s="44">
        <v>530.97</v>
      </c>
      <c r="G21" s="41">
        <v>521.32999999999993</v>
      </c>
      <c r="H21" s="18">
        <v>532.75</v>
      </c>
      <c r="I21" s="132">
        <v>505.92999999999989</v>
      </c>
      <c r="J21" s="18">
        <v>521.9</v>
      </c>
      <c r="K21" s="18">
        <v>540.6</v>
      </c>
      <c r="L21" s="18">
        <v>955.40000000000009</v>
      </c>
      <c r="M21" s="18">
        <v>1021.0100000000001</v>
      </c>
      <c r="N21" s="35">
        <f>SUM(Tabela2[[#This Row],[Colunas2]:[Colunas13]])</f>
        <v>7271.51</v>
      </c>
    </row>
    <row r="22" spans="1:15" ht="16.5" thickBot="1" x14ac:dyDescent="0.3">
      <c r="A22" s="5" t="s">
        <v>35</v>
      </c>
      <c r="B22" s="140">
        <v>223220.55000000002</v>
      </c>
      <c r="C22" s="40">
        <v>105307.85999999999</v>
      </c>
      <c r="D22" s="40">
        <v>75241.73</v>
      </c>
      <c r="E22" s="40">
        <v>69445.89</v>
      </c>
      <c r="F22" s="44">
        <v>73709.67</v>
      </c>
      <c r="G22" s="41">
        <v>64149.009999999995</v>
      </c>
      <c r="H22" s="18">
        <v>59497.79</v>
      </c>
      <c r="I22" s="18">
        <v>73539.05</v>
      </c>
      <c r="J22" s="18">
        <v>61318.76</v>
      </c>
      <c r="K22" s="18">
        <v>62944.420000000006</v>
      </c>
      <c r="L22" s="18">
        <v>57579.17</v>
      </c>
      <c r="M22" s="18">
        <v>61167.920000000006</v>
      </c>
      <c r="N22" s="35">
        <f>SUM(Tabela2[[#This Row],[Colunas2]:[Colunas13]])</f>
        <v>987121.8200000003</v>
      </c>
    </row>
    <row r="23" spans="1:15" ht="16.5" thickBot="1" x14ac:dyDescent="0.3">
      <c r="A23" s="4" t="s">
        <v>3</v>
      </c>
      <c r="B23" s="42">
        <f>SUM(B12:B22)</f>
        <v>3069649.4699999997</v>
      </c>
      <c r="C23" s="42">
        <f t="shared" ref="C23:F23" si="4">SUM(C12:C22)</f>
        <v>2295721.09</v>
      </c>
      <c r="D23" s="42">
        <f>SUM(D12:D22)</f>
        <v>2312800.2999999998</v>
      </c>
      <c r="E23" s="103">
        <f>SUM(E12:E22)</f>
        <v>2345330.15</v>
      </c>
      <c r="F23" s="42">
        <f t="shared" si="4"/>
        <v>2394585.5500000003</v>
      </c>
      <c r="G23" s="42">
        <f t="shared" ref="G23:H23" si="5">SUM(G12:G22)</f>
        <v>2267744.65</v>
      </c>
      <c r="H23" s="42">
        <f t="shared" si="5"/>
        <v>2502230.4000000004</v>
      </c>
      <c r="I23" s="42">
        <f t="shared" ref="I23:J23" si="6">SUM(I12:I22)</f>
        <v>2297152.4500000002</v>
      </c>
      <c r="J23" s="42">
        <f t="shared" si="6"/>
        <v>2617433.1099999994</v>
      </c>
      <c r="K23" s="42">
        <f t="shared" ref="K23:L23" si="7">SUM(K12:K22)</f>
        <v>2428267.7599999998</v>
      </c>
      <c r="L23" s="42">
        <f t="shared" si="7"/>
        <v>3216787.5100000002</v>
      </c>
      <c r="M23" s="42">
        <v>3065088.1999999997</v>
      </c>
      <c r="N23" s="35">
        <f>SUM(Tabela2[[#This Row],[Colunas2]:[Colunas13]])</f>
        <v>30812790.640000001</v>
      </c>
    </row>
    <row r="24" spans="1:15" ht="16.5" thickBot="1" x14ac:dyDescent="0.3">
      <c r="A24" s="4" t="s">
        <v>27</v>
      </c>
      <c r="B24" s="42">
        <f>B9-B23</f>
        <v>1122940.8400000003</v>
      </c>
      <c r="C24" s="42">
        <f t="shared" ref="C24:F24" si="8">C9-C23</f>
        <v>296475.8200000003</v>
      </c>
      <c r="D24" s="42">
        <f>D9-D23</f>
        <v>280246.26000000024</v>
      </c>
      <c r="E24" s="103">
        <f>E9-E23</f>
        <v>249455.53000000026</v>
      </c>
      <c r="F24" s="42">
        <f t="shared" si="8"/>
        <v>202123.36999999965</v>
      </c>
      <c r="G24" s="42">
        <f t="shared" ref="G24:H24" si="9">G9-G23</f>
        <v>328311.51000000024</v>
      </c>
      <c r="H24" s="42">
        <f t="shared" si="9"/>
        <v>101156.87999999942</v>
      </c>
      <c r="I24" s="42">
        <f t="shared" ref="I24:J24" si="10">I9-I23</f>
        <v>306707.79999999981</v>
      </c>
      <c r="J24" s="42">
        <f t="shared" si="10"/>
        <v>-14745.069999999367</v>
      </c>
      <c r="K24" s="42">
        <f t="shared" ref="K24:L24" si="11">K9-K23</f>
        <v>170519.7200000002</v>
      </c>
      <c r="L24" s="42">
        <f t="shared" si="11"/>
        <v>-621179.90000000037</v>
      </c>
      <c r="M24" s="42">
        <v>-472492.62999999989</v>
      </c>
      <c r="N24" s="35">
        <f>SUM(Tabela2[[#This Row],[Colunas2]:[Colunas13]])</f>
        <v>1949520.1300000008</v>
      </c>
    </row>
    <row r="25" spans="1:15" ht="16.5" thickBot="1" x14ac:dyDescent="0.3">
      <c r="A25" s="4" t="s">
        <v>36</v>
      </c>
      <c r="B25" s="104">
        <f>(B4+B9)-B23</f>
        <v>1462318.0100000007</v>
      </c>
      <c r="C25" s="17">
        <f>(C4+C9)-C23</f>
        <v>1758793.830000001</v>
      </c>
      <c r="D25" s="17">
        <f>(D4+D9)-D23</f>
        <v>2039040.0900000008</v>
      </c>
      <c r="E25" s="104">
        <f>(E4+E9)-E23</f>
        <v>2288495.6200000015</v>
      </c>
      <c r="F25" s="17">
        <f t="shared" ref="F25" si="12">(F4+F9)-F23</f>
        <v>2490618.9900000007</v>
      </c>
      <c r="G25" s="17">
        <f t="shared" ref="G25:H25" si="13">(G4+G9)-G23</f>
        <v>2818930.5000000005</v>
      </c>
      <c r="H25" s="17">
        <f t="shared" si="13"/>
        <v>2920087.38</v>
      </c>
      <c r="I25" s="17">
        <f t="shared" ref="I25:J25" si="14">(I4+I9)-I23</f>
        <v>3226795.1799999997</v>
      </c>
      <c r="J25" s="17">
        <f t="shared" si="14"/>
        <v>3212050.1100000003</v>
      </c>
      <c r="K25" s="17">
        <f t="shared" ref="K25:L25" si="15">(K4+K9)-K23</f>
        <v>3382569.83</v>
      </c>
      <c r="L25" s="17">
        <f t="shared" si="15"/>
        <v>2761389.9299999992</v>
      </c>
      <c r="M25" s="17">
        <v>2288897.2999999993</v>
      </c>
      <c r="N25" s="35"/>
    </row>
    <row r="26" spans="1:15" s="22" customFormat="1" ht="16.5" thickBot="1" x14ac:dyDescent="0.3">
      <c r="A26" s="143"/>
      <c r="B26" s="144"/>
      <c r="C26" s="144"/>
      <c r="D26" s="144"/>
      <c r="E26" s="144"/>
      <c r="F26" s="144"/>
      <c r="G26" s="144"/>
      <c r="H26" s="144"/>
      <c r="I26" s="144"/>
      <c r="J26" s="145"/>
      <c r="K26" s="145"/>
      <c r="L26" s="145"/>
      <c r="M26" s="145"/>
      <c r="N26" s="146"/>
    </row>
    <row r="27" spans="1:15" ht="16.5" thickBot="1" x14ac:dyDescent="0.3">
      <c r="A27" s="156" t="s">
        <v>37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8"/>
      <c r="N27" s="37"/>
    </row>
    <row r="28" spans="1:15" ht="16.5" thickBot="1" x14ac:dyDescent="0.3">
      <c r="A28" s="5" t="s">
        <v>21</v>
      </c>
      <c r="B28" s="9" t="s">
        <v>7</v>
      </c>
      <c r="C28" s="12" t="s">
        <v>8</v>
      </c>
      <c r="D28" s="20" t="s">
        <v>9</v>
      </c>
      <c r="E28" s="100" t="s">
        <v>10</v>
      </c>
      <c r="F28" s="29" t="s">
        <v>11</v>
      </c>
      <c r="G28" s="29" t="s">
        <v>25</v>
      </c>
      <c r="H28" s="29" t="s">
        <v>26</v>
      </c>
      <c r="I28" s="29" t="s">
        <v>1</v>
      </c>
      <c r="J28" s="29" t="s">
        <v>2</v>
      </c>
      <c r="K28" s="29" t="s">
        <v>4</v>
      </c>
      <c r="L28" s="29" t="s">
        <v>5</v>
      </c>
      <c r="M28" s="30" t="s">
        <v>6</v>
      </c>
      <c r="N28" s="37"/>
    </row>
    <row r="29" spans="1:15" ht="16.5" thickBot="1" x14ac:dyDescent="0.3">
      <c r="A29" s="5" t="s">
        <v>23</v>
      </c>
      <c r="B29" s="8">
        <v>1000</v>
      </c>
      <c r="C29" s="19">
        <v>984.7</v>
      </c>
      <c r="D29" s="40">
        <v>1000</v>
      </c>
      <c r="E29" s="105">
        <v>1000</v>
      </c>
      <c r="F29" s="26">
        <v>998.3</v>
      </c>
      <c r="G29" s="26">
        <v>949</v>
      </c>
      <c r="H29" s="26">
        <v>1000</v>
      </c>
      <c r="I29" s="26">
        <v>1000</v>
      </c>
      <c r="J29" s="26">
        <v>1000</v>
      </c>
      <c r="K29" s="139">
        <v>1000</v>
      </c>
      <c r="L29" s="21">
        <v>575</v>
      </c>
      <c r="M29" s="31">
        <v>998.3</v>
      </c>
      <c r="N29" s="37"/>
    </row>
    <row r="30" spans="1:15" ht="16.5" thickBot="1" x14ac:dyDescent="0.3">
      <c r="A30" s="5" t="s">
        <v>24</v>
      </c>
      <c r="B30" s="8">
        <v>1460818.01</v>
      </c>
      <c r="C30" s="19">
        <v>1757309.13</v>
      </c>
      <c r="D30" s="40">
        <f>1994232.96+43307.13</f>
        <v>2037540.0899999999</v>
      </c>
      <c r="E30" s="105">
        <v>2286995.62</v>
      </c>
      <c r="F30" s="26">
        <v>2489120.69</v>
      </c>
      <c r="G30" s="26">
        <v>2817481.5</v>
      </c>
      <c r="H30" s="26">
        <v>2918587.38</v>
      </c>
      <c r="I30" s="26">
        <f>3204100.48+21194.7</f>
        <v>3225295.18</v>
      </c>
      <c r="J30" s="26">
        <v>3210550.11</v>
      </c>
      <c r="K30" s="140">
        <v>3381069.83</v>
      </c>
      <c r="L30" s="26">
        <v>2760314.93</v>
      </c>
      <c r="M30" s="32">
        <v>2287399</v>
      </c>
      <c r="N30" s="37"/>
      <c r="O30" s="46"/>
    </row>
    <row r="31" spans="1:15" ht="16.5" thickBot="1" x14ac:dyDescent="0.3">
      <c r="A31" s="4" t="s">
        <v>3</v>
      </c>
      <c r="B31" s="106">
        <f>B29+B30</f>
        <v>1461818.01</v>
      </c>
      <c r="C31" s="33">
        <f t="shared" ref="C31:M31" si="16">C29+C30</f>
        <v>1758293.8299999998</v>
      </c>
      <c r="D31" s="33">
        <f t="shared" si="16"/>
        <v>2038540.0899999999</v>
      </c>
      <c r="E31" s="106">
        <f t="shared" si="16"/>
        <v>2287995.62</v>
      </c>
      <c r="F31" s="33">
        <f t="shared" si="16"/>
        <v>2490118.9899999998</v>
      </c>
      <c r="G31" s="33">
        <f t="shared" si="16"/>
        <v>2818430.5</v>
      </c>
      <c r="H31" s="33">
        <f t="shared" si="16"/>
        <v>2919587.38</v>
      </c>
      <c r="I31" s="33">
        <f t="shared" si="16"/>
        <v>3226295.18</v>
      </c>
      <c r="J31" s="33">
        <f t="shared" si="16"/>
        <v>3211550.11</v>
      </c>
      <c r="K31" s="33">
        <f t="shared" si="16"/>
        <v>3382069.83</v>
      </c>
      <c r="L31" s="33">
        <f t="shared" si="16"/>
        <v>2760889.93</v>
      </c>
      <c r="M31" s="33">
        <f t="shared" si="16"/>
        <v>2288397.2999999998</v>
      </c>
      <c r="N31" s="37"/>
    </row>
    <row r="32" spans="1:15" ht="16.5" thickBot="1" x14ac:dyDescent="0.3">
      <c r="A32" s="147"/>
      <c r="B32" s="148"/>
      <c r="C32" s="79"/>
      <c r="D32" s="148"/>
      <c r="E32" s="107"/>
      <c r="F32" s="147"/>
      <c r="G32" s="147"/>
      <c r="H32" s="147"/>
      <c r="I32" s="147"/>
      <c r="J32" s="147"/>
      <c r="K32" s="147"/>
      <c r="L32" s="147"/>
      <c r="M32" s="147"/>
      <c r="N32" s="37"/>
    </row>
    <row r="33" spans="1:17" s="22" customFormat="1" ht="16.5" thickBot="1" x14ac:dyDescent="0.3">
      <c r="A33" s="156" t="s">
        <v>55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8"/>
      <c r="N33" s="36"/>
    </row>
    <row r="34" spans="1:17" s="22" customFormat="1" ht="16.5" thickBot="1" x14ac:dyDescent="0.3">
      <c r="A34" s="25" t="s">
        <v>21</v>
      </c>
      <c r="B34" s="16" t="s">
        <v>7</v>
      </c>
      <c r="C34" s="16" t="s">
        <v>8</v>
      </c>
      <c r="D34" s="16" t="s">
        <v>9</v>
      </c>
      <c r="E34" s="108" t="s">
        <v>10</v>
      </c>
      <c r="F34" s="27" t="s">
        <v>11</v>
      </c>
      <c r="G34" s="27" t="s">
        <v>25</v>
      </c>
      <c r="H34" s="27" t="s">
        <v>26</v>
      </c>
      <c r="I34" s="27" t="s">
        <v>1</v>
      </c>
      <c r="J34" s="27" t="s">
        <v>2</v>
      </c>
      <c r="K34" s="27" t="s">
        <v>4</v>
      </c>
      <c r="L34" s="27" t="s">
        <v>5</v>
      </c>
      <c r="M34" s="27" t="s">
        <v>6</v>
      </c>
      <c r="N34" s="36"/>
      <c r="O34" s="45"/>
    </row>
    <row r="35" spans="1:17" s="22" customFormat="1" ht="16.5" thickBot="1" x14ac:dyDescent="0.3">
      <c r="A35" s="25" t="s">
        <v>19</v>
      </c>
      <c r="B35" s="135">
        <v>68300.149999999994</v>
      </c>
      <c r="C35" s="109">
        <v>43133.74</v>
      </c>
      <c r="D35" s="151">
        <v>43307.13</v>
      </c>
      <c r="E35" s="109">
        <v>43497.21</v>
      </c>
      <c r="F35" s="26">
        <v>43696.21</v>
      </c>
      <c r="G35" s="39">
        <v>43869.68</v>
      </c>
      <c r="H35" s="26">
        <v>44078.44</v>
      </c>
      <c r="I35" s="39">
        <f>21194.7</f>
        <v>21194.7</v>
      </c>
      <c r="J35" s="82">
        <v>21276.05</v>
      </c>
      <c r="K35" s="141">
        <v>21353.85</v>
      </c>
      <c r="L35" s="82">
        <v>21413.45</v>
      </c>
      <c r="M35" s="85">
        <v>21475.94</v>
      </c>
      <c r="N35" s="36"/>
    </row>
    <row r="36" spans="1:17" s="23" customFormat="1" ht="16.5" thickBot="1" x14ac:dyDescent="0.3">
      <c r="A36" s="25" t="s">
        <v>56</v>
      </c>
      <c r="B36" s="135">
        <v>1393517.86</v>
      </c>
      <c r="C36" s="109">
        <v>1715160.0899999999</v>
      </c>
      <c r="D36" s="152">
        <f>1000+1994232.96</f>
        <v>1995232.96</v>
      </c>
      <c r="E36" s="109">
        <v>2244498.41</v>
      </c>
      <c r="F36" s="26">
        <v>2446422.7799999998</v>
      </c>
      <c r="G36" s="39">
        <v>2774560.82</v>
      </c>
      <c r="H36" s="26">
        <v>2875508.94</v>
      </c>
      <c r="I36" s="142">
        <f>3204100.48+1000</f>
        <v>3205100.48</v>
      </c>
      <c r="J36" s="82">
        <v>3190274.06</v>
      </c>
      <c r="K36" s="142">
        <v>3360715.98</v>
      </c>
      <c r="L36" s="82">
        <v>2739476.48</v>
      </c>
      <c r="M36" s="85">
        <v>2266921.36</v>
      </c>
      <c r="N36" s="36"/>
    </row>
    <row r="37" spans="1:17" s="45" customFormat="1" ht="16.5" thickBot="1" x14ac:dyDescent="0.3">
      <c r="A37" s="88" t="s">
        <v>3</v>
      </c>
      <c r="B37" s="110">
        <f>B35+B36</f>
        <v>1461818.01</v>
      </c>
      <c r="C37" s="89">
        <f t="shared" ref="C37:M37" si="17">C35+C36</f>
        <v>1758293.8299999998</v>
      </c>
      <c r="D37" s="89">
        <f>D35+D36</f>
        <v>2038540.0899999999</v>
      </c>
      <c r="E37" s="110">
        <f t="shared" si="17"/>
        <v>2287995.62</v>
      </c>
      <c r="F37" s="89">
        <f t="shared" si="17"/>
        <v>2490118.9899999998</v>
      </c>
      <c r="G37" s="89">
        <f t="shared" si="17"/>
        <v>2818430.5</v>
      </c>
      <c r="H37" s="89">
        <f t="shared" si="17"/>
        <v>2919587.38</v>
      </c>
      <c r="I37" s="89">
        <f t="shared" si="17"/>
        <v>3226295.18</v>
      </c>
      <c r="J37" s="89">
        <f t="shared" si="17"/>
        <v>3211550.11</v>
      </c>
      <c r="K37" s="89">
        <f t="shared" si="17"/>
        <v>3382069.83</v>
      </c>
      <c r="L37" s="89">
        <f t="shared" si="17"/>
        <v>2760889.93</v>
      </c>
      <c r="M37" s="89">
        <f t="shared" si="17"/>
        <v>2288397.2999999998</v>
      </c>
      <c r="N37" s="37"/>
    </row>
    <row r="38" spans="1:17" s="45" customFormat="1" ht="16.5" thickBot="1" x14ac:dyDescent="0.3">
      <c r="A38" s="77"/>
      <c r="B38" s="78"/>
      <c r="C38" s="136"/>
      <c r="D38" s="79"/>
      <c r="E38" s="107"/>
      <c r="F38" s="80"/>
      <c r="G38" s="81"/>
      <c r="H38" s="81"/>
      <c r="I38" s="81"/>
      <c r="J38" s="81"/>
      <c r="K38" s="81"/>
      <c r="L38" s="81"/>
      <c r="M38" s="81"/>
      <c r="N38" s="37"/>
    </row>
    <row r="39" spans="1:17" ht="16.5" thickBot="1" x14ac:dyDescent="0.3">
      <c r="A39" s="156" t="s">
        <v>38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8"/>
      <c r="N39" s="37"/>
    </row>
    <row r="40" spans="1:17" s="45" customFormat="1" ht="16.5" thickBot="1" x14ac:dyDescent="0.3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37"/>
    </row>
    <row r="41" spans="1:17" s="45" customFormat="1" ht="16.5" thickBot="1" x14ac:dyDescent="0.3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37"/>
    </row>
    <row r="42" spans="1:17" ht="27.75" customHeight="1" thickBot="1" x14ac:dyDescent="0.3">
      <c r="A42" s="9" t="s">
        <v>21</v>
      </c>
      <c r="B42" s="180" t="s">
        <v>39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2"/>
      <c r="N42" s="37"/>
    </row>
    <row r="43" spans="1:17" ht="54.75" customHeight="1" thickBot="1" x14ac:dyDescent="0.3">
      <c r="A43" s="13" t="s">
        <v>7</v>
      </c>
      <c r="B43" s="183" t="s">
        <v>88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5"/>
      <c r="N43" s="38"/>
      <c r="O43" s="15"/>
      <c r="P43" s="15"/>
      <c r="Q43" s="15"/>
    </row>
    <row r="44" spans="1:17" ht="39" customHeight="1" thickBot="1" x14ac:dyDescent="0.3">
      <c r="A44" s="13" t="s">
        <v>8</v>
      </c>
      <c r="B44" s="177" t="s">
        <v>90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9"/>
    </row>
    <row r="45" spans="1:17" ht="39" customHeight="1" thickBot="1" x14ac:dyDescent="0.3">
      <c r="A45" s="13" t="s">
        <v>9</v>
      </c>
      <c r="B45" s="153" t="s">
        <v>92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5"/>
    </row>
    <row r="46" spans="1:17" ht="39" customHeight="1" thickBot="1" x14ac:dyDescent="0.3">
      <c r="A46" s="13" t="s">
        <v>10</v>
      </c>
      <c r="B46" s="174" t="s">
        <v>95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</row>
    <row r="47" spans="1:17" ht="45" customHeight="1" thickBot="1" x14ac:dyDescent="0.3">
      <c r="A47" s="13" t="s">
        <v>11</v>
      </c>
      <c r="B47" s="168" t="s">
        <v>97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70"/>
    </row>
    <row r="48" spans="1:17" ht="39" customHeight="1" thickBot="1" x14ac:dyDescent="0.3">
      <c r="A48" s="13" t="s">
        <v>25</v>
      </c>
      <c r="B48" s="171" t="s">
        <v>98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3"/>
    </row>
    <row r="49" spans="1:15" ht="39" customHeight="1" thickBot="1" x14ac:dyDescent="0.3">
      <c r="A49" s="13" t="s">
        <v>26</v>
      </c>
      <c r="B49" s="168" t="s">
        <v>100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70"/>
    </row>
    <row r="50" spans="1:15" ht="39" customHeight="1" thickBot="1" x14ac:dyDescent="0.3">
      <c r="A50" s="13" t="s">
        <v>1</v>
      </c>
      <c r="B50" s="165" t="s">
        <v>102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15" ht="39" customHeight="1" thickBot="1" x14ac:dyDescent="0.3">
      <c r="A51" s="13" t="s">
        <v>2</v>
      </c>
      <c r="B51" s="153" t="s">
        <v>104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1:15" ht="39" customHeight="1" thickBot="1" x14ac:dyDescent="0.3">
      <c r="A52" s="13" t="s">
        <v>4</v>
      </c>
      <c r="B52" s="162" t="s">
        <v>107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4"/>
    </row>
    <row r="53" spans="1:15" ht="39" customHeight="1" thickBot="1" x14ac:dyDescent="0.3">
      <c r="A53" s="13" t="s">
        <v>5</v>
      </c>
      <c r="B53" s="153" t="s">
        <v>109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5"/>
    </row>
    <row r="54" spans="1:15" ht="39" customHeight="1" thickBot="1" x14ac:dyDescent="0.3">
      <c r="A54" s="14" t="s">
        <v>6</v>
      </c>
      <c r="B54" s="159" t="s">
        <v>110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1"/>
    </row>
    <row r="60" spans="1:15" x14ac:dyDescent="0.25">
      <c r="D60" s="2"/>
      <c r="F60" s="46"/>
      <c r="G60" s="1"/>
      <c r="H60" s="1"/>
      <c r="I60" s="1"/>
      <c r="J60" s="1"/>
      <c r="K60" s="1"/>
      <c r="L60" s="1"/>
      <c r="M60" s="1"/>
      <c r="N60" s="1"/>
      <c r="O60" s="1"/>
    </row>
  </sheetData>
  <protectedRanges>
    <protectedRange sqref="B45:M45" name="Intervalo5"/>
    <protectedRange sqref="B29:C30 L29:M30 E29:H30 J29:J30" name="Intervalo3"/>
    <protectedRange sqref="C12:M22" name="Intervalo2"/>
    <protectedRange sqref="B4:M8" name="Intervalo1"/>
    <protectedRange sqref="B35:C36 L35:M36 E35:H36 J35:J36" name="Intervalo4"/>
    <protectedRange sqref="B43:M43" name="Intervalo5_1_1"/>
    <protectedRange sqref="B44:M44" name="Intervalo5_2"/>
    <protectedRange sqref="D29:D30" name="Intervalo3_1"/>
    <protectedRange sqref="B46:M46" name="Intervalo5_2_1"/>
    <protectedRange sqref="B47:M47" name="Intervalo5_2_2"/>
    <protectedRange sqref="B48:M48" name="Intervalo5_2_3"/>
    <protectedRange sqref="B49:M49" name="Intervalo5_2_4"/>
    <protectedRange sqref="I29:I30" name="Intervalo3_1_1"/>
    <protectedRange sqref="I35" name="Intervalo3_1_2"/>
    <protectedRange sqref="B50:M50" name="Intervalo5_2_5"/>
    <protectedRange sqref="B51:M51" name="Intervalo5_2_6"/>
    <protectedRange sqref="B53:M53" name="Intervalo5_2_7"/>
  </protectedRanges>
  <mergeCells count="17">
    <mergeCell ref="A2:N2"/>
    <mergeCell ref="B49:M49"/>
    <mergeCell ref="B48:M48"/>
    <mergeCell ref="B46:M46"/>
    <mergeCell ref="B44:M44"/>
    <mergeCell ref="B42:M42"/>
    <mergeCell ref="A27:M27"/>
    <mergeCell ref="A39:M39"/>
    <mergeCell ref="B47:M47"/>
    <mergeCell ref="B43:M43"/>
    <mergeCell ref="B45:M45"/>
    <mergeCell ref="B51:M51"/>
    <mergeCell ref="B53:M53"/>
    <mergeCell ref="A33:M33"/>
    <mergeCell ref="B54:M54"/>
    <mergeCell ref="B52:M52"/>
    <mergeCell ref="B50:M50"/>
  </mergeCells>
  <pageMargins left="0.19685039370078741" right="0.19685039370078741" top="0.9055118110236221" bottom="0.74803149606299213" header="0.19685039370078741" footer="0.31496062992125984"/>
  <pageSetup paperSize="9" scale="58" fitToHeight="0" orientation="landscape" horizontalDpi="0" verticalDpi="0" r:id="rId1"/>
  <headerFooter>
    <oddHeader>&amp;L&amp;G&amp;C&amp;"-,Negrito"&amp;18RELATÓRIO - GESTÃO EM SAÚDE
RELATÓRIO - DEMONSTRATIVO DO FLUXO DE CAIXA
CENTRO DE REFERENCIA DE SAUDE DA MULHER - MATER - PERÍODO: 2019</oddHeader>
    <oddFooter>&amp;C&amp;"-,Negrito"&amp;18Rua Galileu Galilei, 1800 - Sala 605 – Condomínio Itamaraty - 14024-193 – Ribeirão Preto/SPCNPJ/MF 57.722.118/0005-74 - Fones: (16) 3505-8101 /3505-8197</oddFooter>
  </headerFooter>
  <legacyDrawing r:id="rId2"/>
  <legacyDrawingHF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tabSelected="1" view="pageLayout" zoomScale="82" zoomScaleNormal="85" zoomScalePageLayoutView="82" workbookViewId="0">
      <selection activeCell="B68" sqref="B68:M68"/>
    </sheetView>
  </sheetViews>
  <sheetFormatPr defaultRowHeight="15.75" x14ac:dyDescent="0.25"/>
  <cols>
    <col min="1" max="1" width="55" style="75" customWidth="1"/>
    <col min="2" max="3" width="15" style="76" bestFit="1" customWidth="1"/>
    <col min="4" max="4" width="16.85546875" style="76" bestFit="1" customWidth="1"/>
    <col min="5" max="5" width="15" style="122" bestFit="1" customWidth="1"/>
    <col min="6" max="7" width="15" style="76" bestFit="1" customWidth="1"/>
    <col min="8" max="8" width="15" style="122" bestFit="1" customWidth="1"/>
    <col min="9" max="13" width="15" style="76" bestFit="1" customWidth="1"/>
    <col min="14" max="14" width="16.140625" style="76" bestFit="1" customWidth="1"/>
    <col min="15" max="15" width="13.85546875" style="48" bestFit="1" customWidth="1"/>
    <col min="16" max="16" width="15.5703125" style="48" bestFit="1" customWidth="1"/>
    <col min="17" max="17" width="14.28515625" style="48" bestFit="1" customWidth="1"/>
    <col min="18" max="19" width="13.28515625" style="48" bestFit="1" customWidth="1"/>
    <col min="20" max="20" width="9.140625" style="48"/>
    <col min="21" max="16384" width="9.140625" style="49"/>
  </cols>
  <sheetData>
    <row r="1" spans="1:14" ht="15" customHeight="1" thickBot="1" x14ac:dyDescent="0.3">
      <c r="A1" s="51"/>
      <c r="B1" s="50"/>
      <c r="C1" s="50"/>
      <c r="D1" s="50"/>
      <c r="E1" s="112"/>
      <c r="F1" s="50"/>
      <c r="G1" s="50"/>
      <c r="H1" s="112"/>
      <c r="I1" s="50"/>
      <c r="J1" s="50"/>
      <c r="K1" s="50"/>
      <c r="L1" s="50"/>
      <c r="M1" s="50"/>
      <c r="N1" s="50"/>
    </row>
    <row r="2" spans="1:14" ht="15.75" customHeight="1" thickBot="1" x14ac:dyDescent="0.3">
      <c r="A2" s="202" t="s">
        <v>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52"/>
    </row>
    <row r="3" spans="1:14" ht="15.75" customHeight="1" thickBot="1" x14ac:dyDescent="0.3">
      <c r="A3" s="53" t="s">
        <v>21</v>
      </c>
      <c r="B3" s="54" t="s">
        <v>7</v>
      </c>
      <c r="C3" s="54" t="s">
        <v>8</v>
      </c>
      <c r="D3" s="54" t="s">
        <v>9</v>
      </c>
      <c r="E3" s="113" t="s">
        <v>10</v>
      </c>
      <c r="F3" s="54" t="s">
        <v>11</v>
      </c>
      <c r="G3" s="54" t="s">
        <v>25</v>
      </c>
      <c r="H3" s="113" t="s">
        <v>26</v>
      </c>
      <c r="I3" s="54" t="s">
        <v>1</v>
      </c>
      <c r="J3" s="54" t="s">
        <v>2</v>
      </c>
      <c r="K3" s="54" t="s">
        <v>4</v>
      </c>
      <c r="L3" s="54" t="s">
        <v>5</v>
      </c>
      <c r="M3" s="55" t="s">
        <v>6</v>
      </c>
      <c r="N3" s="56" t="s">
        <v>57</v>
      </c>
    </row>
    <row r="4" spans="1:14" ht="15.75" customHeight="1" thickBot="1" x14ac:dyDescent="0.3">
      <c r="A4" s="95" t="s">
        <v>41</v>
      </c>
      <c r="B4" s="90"/>
      <c r="C4" s="57"/>
      <c r="D4" s="57"/>
      <c r="E4" s="114"/>
      <c r="F4" s="57"/>
      <c r="G4" s="57"/>
      <c r="H4" s="114"/>
      <c r="I4" s="57"/>
      <c r="J4" s="57"/>
      <c r="K4" s="57"/>
      <c r="L4" s="57"/>
      <c r="M4" s="58"/>
      <c r="N4" s="56">
        <f>SUM(Tabela16[[#This Row],[Coluna2]:[Coluna13]])</f>
        <v>0</v>
      </c>
    </row>
    <row r="5" spans="1:14" ht="15.75" customHeight="1" thickBot="1" x14ac:dyDescent="0.3">
      <c r="A5" s="95" t="s">
        <v>58</v>
      </c>
      <c r="B5" s="59">
        <v>2583000</v>
      </c>
      <c r="C5" s="59">
        <v>2583000</v>
      </c>
      <c r="D5" s="59">
        <v>2583000</v>
      </c>
      <c r="E5" s="59">
        <v>2583000</v>
      </c>
      <c r="F5" s="59">
        <v>2583000</v>
      </c>
      <c r="G5" s="59">
        <v>2583000</v>
      </c>
      <c r="H5" s="59">
        <v>2583000</v>
      </c>
      <c r="I5" s="59">
        <v>2583000</v>
      </c>
      <c r="J5" s="59">
        <v>2583000</v>
      </c>
      <c r="K5" s="59">
        <v>2583000</v>
      </c>
      <c r="L5" s="59">
        <v>2583000</v>
      </c>
      <c r="M5" s="60">
        <v>2583000</v>
      </c>
      <c r="N5" s="56">
        <f>SUM(Tabela16[[#This Row],[Coluna2]:[Coluna13]])</f>
        <v>30996000</v>
      </c>
    </row>
    <row r="6" spans="1:14" ht="15.75" customHeight="1" thickBot="1" x14ac:dyDescent="0.3">
      <c r="A6" s="95" t="s">
        <v>59</v>
      </c>
      <c r="B6" s="59"/>
      <c r="C6" s="59"/>
      <c r="D6" s="59"/>
      <c r="E6" s="111"/>
      <c r="F6" s="59"/>
      <c r="G6" s="59"/>
      <c r="H6" s="111"/>
      <c r="I6" s="59"/>
      <c r="J6" s="59"/>
      <c r="K6" s="59"/>
      <c r="L6" s="59"/>
      <c r="M6" s="60"/>
      <c r="N6" s="56">
        <f>SUM(Tabela16[[#This Row],[Coluna2]:[Coluna13]])</f>
        <v>0</v>
      </c>
    </row>
    <row r="7" spans="1:14" ht="15.75" customHeight="1" thickBot="1" x14ac:dyDescent="0.3">
      <c r="A7" s="95" t="s">
        <v>60</v>
      </c>
      <c r="B7" s="59"/>
      <c r="C7" s="59"/>
      <c r="D7" s="59"/>
      <c r="E7" s="111"/>
      <c r="F7" s="59"/>
      <c r="G7" s="59"/>
      <c r="H7" s="111">
        <v>4800</v>
      </c>
      <c r="I7" s="59">
        <v>4800</v>
      </c>
      <c r="J7" s="59">
        <v>4800</v>
      </c>
      <c r="K7" s="59"/>
      <c r="L7" s="59"/>
      <c r="M7" s="60"/>
      <c r="N7" s="56">
        <f>SUM(Tabela16[[#This Row],[Coluna2]:[Coluna13]])</f>
        <v>14400</v>
      </c>
    </row>
    <row r="8" spans="1:14" ht="15.75" customHeight="1" thickBot="1" x14ac:dyDescent="0.3">
      <c r="A8" s="96" t="s">
        <v>61</v>
      </c>
      <c r="B8" s="61">
        <v>2583000</v>
      </c>
      <c r="C8" s="61">
        <f t="shared" ref="C8:L8" si="0">SUBTOTAL(109,C4:C7)</f>
        <v>2583000</v>
      </c>
      <c r="D8" s="61">
        <f t="shared" si="0"/>
        <v>2583000</v>
      </c>
      <c r="E8" s="90">
        <f t="shared" si="0"/>
        <v>2583000</v>
      </c>
      <c r="F8" s="90">
        <f t="shared" si="0"/>
        <v>2583000</v>
      </c>
      <c r="G8" s="90">
        <f t="shared" si="0"/>
        <v>2583000</v>
      </c>
      <c r="H8" s="90">
        <f t="shared" si="0"/>
        <v>2587800</v>
      </c>
      <c r="I8" s="90">
        <f t="shared" si="0"/>
        <v>2587800</v>
      </c>
      <c r="J8" s="90">
        <f t="shared" si="0"/>
        <v>2587800</v>
      </c>
      <c r="K8" s="90">
        <f t="shared" si="0"/>
        <v>2583000</v>
      </c>
      <c r="L8" s="90">
        <f t="shared" si="0"/>
        <v>2583000</v>
      </c>
      <c r="M8" s="61">
        <v>2583000</v>
      </c>
      <c r="N8" s="56">
        <f>SUM(Tabela16[[#This Row],[Coluna2]:[Coluna13]])</f>
        <v>31010400</v>
      </c>
    </row>
    <row r="9" spans="1:14" ht="15.75" customHeight="1" thickBot="1" x14ac:dyDescent="0.3">
      <c r="A9" s="95" t="s">
        <v>42</v>
      </c>
      <c r="B9" s="59"/>
      <c r="C9" s="59">
        <v>0</v>
      </c>
      <c r="D9" s="59">
        <v>0</v>
      </c>
      <c r="E9" s="111">
        <v>0</v>
      </c>
      <c r="F9" s="59">
        <v>0</v>
      </c>
      <c r="G9" s="59"/>
      <c r="H9" s="111"/>
      <c r="I9" s="59"/>
      <c r="J9" s="59"/>
      <c r="K9" s="59"/>
      <c r="L9" s="59"/>
      <c r="M9" s="59"/>
      <c r="N9" s="56">
        <f>SUM(Tabela16[[#This Row],[Coluna2]:[Coluna13]])</f>
        <v>0</v>
      </c>
    </row>
    <row r="10" spans="1:14" ht="15.75" customHeight="1" thickBot="1" x14ac:dyDescent="0.3">
      <c r="A10" s="95" t="s">
        <v>43</v>
      </c>
      <c r="B10" s="59"/>
      <c r="C10" s="59">
        <v>0</v>
      </c>
      <c r="D10" s="59">
        <v>0</v>
      </c>
      <c r="E10" s="111">
        <v>0</v>
      </c>
      <c r="F10" s="59">
        <v>0</v>
      </c>
      <c r="G10" s="59"/>
      <c r="H10" s="111"/>
      <c r="I10" s="59"/>
      <c r="J10" s="59"/>
      <c r="K10" s="59"/>
      <c r="L10" s="59"/>
      <c r="M10" s="59"/>
      <c r="N10" s="56">
        <f>SUM(Tabela16[[#This Row],[Coluna2]:[Coluna13]])</f>
        <v>0</v>
      </c>
    </row>
    <row r="11" spans="1:14" ht="15.75" customHeight="1" thickBot="1" x14ac:dyDescent="0.3">
      <c r="A11" s="96" t="s">
        <v>62</v>
      </c>
      <c r="B11" s="61"/>
      <c r="C11" s="61">
        <v>0</v>
      </c>
      <c r="D11" s="61">
        <v>0</v>
      </c>
      <c r="E11" s="90">
        <v>0</v>
      </c>
      <c r="F11" s="61">
        <v>0</v>
      </c>
      <c r="G11" s="125"/>
      <c r="H11" s="90"/>
      <c r="I11" s="61"/>
      <c r="J11" s="61"/>
      <c r="K11" s="61"/>
      <c r="L11" s="61"/>
      <c r="M11" s="61"/>
      <c r="N11" s="56">
        <f>SUM(Tabela16[[#This Row],[Coluna2]:[Coluna13]])</f>
        <v>0</v>
      </c>
    </row>
    <row r="12" spans="1:14" ht="15.75" customHeight="1" thickBot="1" x14ac:dyDescent="0.3">
      <c r="A12" s="95" t="s">
        <v>44</v>
      </c>
      <c r="B12" s="59">
        <v>9590.3599999999988</v>
      </c>
      <c r="C12" s="59">
        <v>9196.91</v>
      </c>
      <c r="D12" s="94">
        <v>10046.56</v>
      </c>
      <c r="E12" s="111">
        <v>11785.68</v>
      </c>
      <c r="F12" s="59">
        <v>13723.02</v>
      </c>
      <c r="G12" s="126">
        <v>13056.16</v>
      </c>
      <c r="H12" s="111">
        <v>15587.28</v>
      </c>
      <c r="I12" s="59">
        <v>16060.25</v>
      </c>
      <c r="J12" s="59">
        <v>14888.04</v>
      </c>
      <c r="K12" s="59">
        <v>15787.49</v>
      </c>
      <c r="L12" s="59">
        <v>12607.630000000001</v>
      </c>
      <c r="M12" s="59">
        <v>10750.49</v>
      </c>
      <c r="N12" s="56">
        <f>SUM(Tabela16[[#This Row],[Coluna2]:[Coluna13]])</f>
        <v>153079.87</v>
      </c>
    </row>
    <row r="13" spans="1:14" ht="15.75" customHeight="1" thickBot="1" x14ac:dyDescent="0.3">
      <c r="A13" s="95" t="s">
        <v>45</v>
      </c>
      <c r="B13" s="59"/>
      <c r="C13" s="59"/>
      <c r="D13" s="59"/>
      <c r="E13" s="111"/>
      <c r="F13" s="59"/>
      <c r="G13" s="126"/>
      <c r="H13" s="111"/>
      <c r="I13" s="59"/>
      <c r="J13" s="59"/>
      <c r="K13" s="59"/>
      <c r="L13" s="59"/>
      <c r="M13" s="59"/>
      <c r="N13" s="56">
        <f>SUM(Tabela16[[#This Row],[Coluna2]:[Coluna13]])</f>
        <v>0</v>
      </c>
    </row>
    <row r="14" spans="1:14" ht="15.75" customHeight="1" thickBot="1" x14ac:dyDescent="0.3">
      <c r="A14" s="95" t="s">
        <v>46</v>
      </c>
      <c r="B14" s="59"/>
      <c r="C14" s="59"/>
      <c r="D14" s="59"/>
      <c r="E14" s="111"/>
      <c r="F14" s="59"/>
      <c r="G14" s="126"/>
      <c r="H14" s="111"/>
      <c r="I14" s="59"/>
      <c r="J14" s="59"/>
      <c r="K14" s="59"/>
      <c r="L14" s="59"/>
      <c r="M14" s="59"/>
      <c r="N14" s="56">
        <f>SUM(Tabela16[[#This Row],[Coluna2]:[Coluna13]])</f>
        <v>0</v>
      </c>
    </row>
    <row r="15" spans="1:14" ht="15.75" customHeight="1" thickBot="1" x14ac:dyDescent="0.3">
      <c r="A15" s="95" t="s">
        <v>47</v>
      </c>
      <c r="B15" s="59"/>
      <c r="C15" s="59"/>
      <c r="D15" s="59"/>
      <c r="E15" s="111"/>
      <c r="F15" s="59"/>
      <c r="G15" s="126"/>
      <c r="H15" s="111"/>
      <c r="I15" s="59"/>
      <c r="J15" s="59"/>
      <c r="K15" s="59"/>
      <c r="L15" s="59"/>
      <c r="M15" s="59"/>
      <c r="N15" s="56">
        <f>SUM(Tabela16[[#This Row],[Coluna2]:[Coluna13]])</f>
        <v>0</v>
      </c>
    </row>
    <row r="16" spans="1:14" ht="15.75" customHeight="1" thickBot="1" x14ac:dyDescent="0.3">
      <c r="A16" s="95" t="s">
        <v>14</v>
      </c>
      <c r="B16" s="59">
        <v>8517.26</v>
      </c>
      <c r="C16" s="59">
        <v>4041.5</v>
      </c>
      <c r="D16" s="59">
        <v>9544.76</v>
      </c>
      <c r="E16" s="111">
        <v>9476.2800000000007</v>
      </c>
      <c r="F16" s="59">
        <v>3894.38</v>
      </c>
      <c r="G16" s="126">
        <v>18747.649999999998</v>
      </c>
      <c r="H16" s="111">
        <v>6824.8600000000006</v>
      </c>
      <c r="I16" s="59">
        <v>4858.8999999999996</v>
      </c>
      <c r="J16" s="59">
        <v>20873.620000000003</v>
      </c>
      <c r="K16" s="59">
        <v>4078.94</v>
      </c>
      <c r="L16" s="59">
        <v>20600.919999999998</v>
      </c>
      <c r="M16" s="59">
        <v>8022.0599999999995</v>
      </c>
      <c r="N16" s="56">
        <f>SUM(Tabela16[[#This Row],[Coluna2]:[Coluna13]])</f>
        <v>119481.12999999999</v>
      </c>
    </row>
    <row r="17" spans="1:16" ht="15.75" customHeight="1" thickBot="1" x14ac:dyDescent="0.3">
      <c r="A17" s="96" t="s">
        <v>63</v>
      </c>
      <c r="B17" s="61">
        <v>18107.62</v>
      </c>
      <c r="C17" s="61">
        <f t="shared" ref="C17:D17" si="1">SUM(C12:C16)</f>
        <v>13238.41</v>
      </c>
      <c r="D17" s="61">
        <f t="shared" si="1"/>
        <v>19591.32</v>
      </c>
      <c r="E17" s="61">
        <f t="shared" ref="E17:I17" si="2">SUM(E12:E16)</f>
        <v>21261.96</v>
      </c>
      <c r="F17" s="61">
        <f t="shared" si="2"/>
        <v>17617.400000000001</v>
      </c>
      <c r="G17" s="61">
        <f t="shared" si="2"/>
        <v>31803.809999999998</v>
      </c>
      <c r="H17" s="61">
        <f t="shared" si="2"/>
        <v>22412.14</v>
      </c>
      <c r="I17" s="61">
        <f t="shared" si="2"/>
        <v>20919.150000000001</v>
      </c>
      <c r="J17" s="61">
        <f t="shared" ref="J17:L17" si="3">SUM(J12:J16)</f>
        <v>35761.660000000003</v>
      </c>
      <c r="K17" s="61">
        <f t="shared" si="3"/>
        <v>19866.43</v>
      </c>
      <c r="L17" s="61">
        <f t="shared" si="3"/>
        <v>33208.550000000003</v>
      </c>
      <c r="M17" s="61">
        <v>18772.55</v>
      </c>
      <c r="N17" s="56">
        <f>SUM(Tabela16[[#This Row],[Coluna2]:[Coluna13]])</f>
        <v>272560.99999999994</v>
      </c>
    </row>
    <row r="18" spans="1:16" ht="15.75" customHeight="1" thickBot="1" x14ac:dyDescent="0.3">
      <c r="A18" s="96" t="s">
        <v>64</v>
      </c>
      <c r="B18" s="62">
        <v>2601107.62</v>
      </c>
      <c r="C18" s="62">
        <f t="shared" ref="C18:D18" si="4">SUM(C8+C17)</f>
        <v>2596238.41</v>
      </c>
      <c r="D18" s="62">
        <f t="shared" si="4"/>
        <v>2602591.3199999998</v>
      </c>
      <c r="E18" s="62">
        <f t="shared" ref="E18:I18" si="5">SUM(E8+E17)</f>
        <v>2604261.96</v>
      </c>
      <c r="F18" s="62">
        <f t="shared" si="5"/>
        <v>2600617.4</v>
      </c>
      <c r="G18" s="62">
        <f t="shared" si="5"/>
        <v>2614803.81</v>
      </c>
      <c r="H18" s="62">
        <f t="shared" si="5"/>
        <v>2610212.14</v>
      </c>
      <c r="I18" s="62">
        <f t="shared" si="5"/>
        <v>2608719.15</v>
      </c>
      <c r="J18" s="62">
        <f t="shared" ref="J18:L18" si="6">SUM(J8+J17)</f>
        <v>2623561.66</v>
      </c>
      <c r="K18" s="62">
        <f t="shared" si="6"/>
        <v>2602866.4300000002</v>
      </c>
      <c r="L18" s="62">
        <f t="shared" si="6"/>
        <v>2616208.5499999998</v>
      </c>
      <c r="M18" s="62">
        <v>2601772.5499999998</v>
      </c>
      <c r="N18" s="56">
        <f>SUM(Tabela16[[#This Row],[Coluna2]:[Coluna13]])</f>
        <v>31282961</v>
      </c>
    </row>
    <row r="19" spans="1:16" ht="15.75" customHeight="1" thickBot="1" x14ac:dyDescent="0.3">
      <c r="A19" s="95" t="s">
        <v>48</v>
      </c>
      <c r="B19" s="63"/>
      <c r="C19" s="63"/>
      <c r="D19" s="63"/>
      <c r="E19" s="115"/>
      <c r="F19" s="63"/>
      <c r="G19" s="127"/>
      <c r="H19" s="115"/>
      <c r="I19" s="63"/>
      <c r="J19" s="63"/>
      <c r="K19" s="63"/>
      <c r="L19" s="63"/>
      <c r="M19" s="63"/>
      <c r="N19" s="56">
        <f>SUM(Tabela16[[#This Row],[Coluna2]:[Coluna13]])</f>
        <v>0</v>
      </c>
    </row>
    <row r="20" spans="1:16" ht="15.75" customHeight="1" thickBot="1" x14ac:dyDescent="0.3">
      <c r="A20" s="96" t="s">
        <v>49</v>
      </c>
      <c r="B20" s="93">
        <f t="shared" ref="B20:C20" si="7">SUM(B21:B23,B27)</f>
        <v>1472524.6700000002</v>
      </c>
      <c r="C20" s="93">
        <f t="shared" si="7"/>
        <v>1474349.7000000002</v>
      </c>
      <c r="D20" s="93">
        <f>SUM(D21:D23,D27)</f>
        <v>1492730.6900000002</v>
      </c>
      <c r="E20" s="93">
        <f t="shared" ref="E20:L20" si="8">SUM(E21:E23,E27)</f>
        <v>1450487.5899999999</v>
      </c>
      <c r="F20" s="93">
        <f t="shared" si="8"/>
        <v>1547732.1199999999</v>
      </c>
      <c r="G20" s="93">
        <f t="shared" si="8"/>
        <v>1403318.83</v>
      </c>
      <c r="H20" s="93">
        <f t="shared" si="8"/>
        <v>1539326.3900000004</v>
      </c>
      <c r="I20" s="93">
        <f t="shared" si="8"/>
        <v>1522328.7100000002</v>
      </c>
      <c r="J20" s="93">
        <f t="shared" si="8"/>
        <v>1631672.0100000002</v>
      </c>
      <c r="K20" s="93">
        <f t="shared" si="8"/>
        <v>1587082.19</v>
      </c>
      <c r="L20" s="93">
        <f t="shared" si="8"/>
        <v>1619341.53</v>
      </c>
      <c r="M20" s="64">
        <v>1763105.53</v>
      </c>
      <c r="N20" s="56">
        <f>SUM(Tabela16[[#This Row],[Coluna2]:[Coluna13]])</f>
        <v>18503999.960000001</v>
      </c>
    </row>
    <row r="21" spans="1:16" ht="15.75" customHeight="1" thickBot="1" x14ac:dyDescent="0.3">
      <c r="A21" s="95" t="s">
        <v>65</v>
      </c>
      <c r="B21" s="59">
        <v>1100721.92</v>
      </c>
      <c r="C21" s="59">
        <v>1124656.25</v>
      </c>
      <c r="D21" s="94">
        <f>945032.66+150892.75</f>
        <v>1095925.4100000001</v>
      </c>
      <c r="E21" s="111">
        <v>1092325.22</v>
      </c>
      <c r="F21" s="94">
        <v>1103435.58</v>
      </c>
      <c r="G21" s="126">
        <v>1078160.08</v>
      </c>
      <c r="H21" s="111">
        <v>1121657.3700000001</v>
      </c>
      <c r="I21" s="59">
        <v>1110972.3700000001</v>
      </c>
      <c r="J21" s="59">
        <v>1202477.8500000001</v>
      </c>
      <c r="K21" s="59">
        <v>1142768.24</v>
      </c>
      <c r="L21" s="59">
        <v>1167633.1599999999</v>
      </c>
      <c r="M21" s="59">
        <v>1230810.98</v>
      </c>
      <c r="N21" s="56">
        <f>SUM(Tabela16[[#This Row],[Coluna2]:[Coluna13]])</f>
        <v>13571544.43</v>
      </c>
      <c r="O21" s="7"/>
      <c r="P21" s="7"/>
    </row>
    <row r="22" spans="1:16" ht="15.75" customHeight="1" thickBot="1" x14ac:dyDescent="0.3">
      <c r="A22" s="95" t="s">
        <v>66</v>
      </c>
      <c r="B22" s="59">
        <v>121216.59999999999</v>
      </c>
      <c r="C22" s="59">
        <v>118493.70999999999</v>
      </c>
      <c r="D22" s="94">
        <f>108381.63+13544.01</f>
        <v>121925.64</v>
      </c>
      <c r="E22" s="111">
        <v>121260.06</v>
      </c>
      <c r="F22" s="94">
        <v>143482.13999999998</v>
      </c>
      <c r="G22" s="126">
        <v>130478.52</v>
      </c>
      <c r="H22" s="111">
        <v>127755.59</v>
      </c>
      <c r="I22" s="59">
        <v>129245.61</v>
      </c>
      <c r="J22" s="59">
        <v>143318.14000000001</v>
      </c>
      <c r="K22" s="59">
        <v>130384.42</v>
      </c>
      <c r="L22" s="59">
        <v>118738.26</v>
      </c>
      <c r="M22" s="59">
        <v>142626.41</v>
      </c>
      <c r="N22" s="56">
        <f>SUM(Tabela16[[#This Row],[Coluna2]:[Coluna13]])</f>
        <v>1548925.0999999999</v>
      </c>
      <c r="O22" s="7"/>
      <c r="P22" s="7"/>
    </row>
    <row r="23" spans="1:16" ht="15.75" customHeight="1" thickBot="1" x14ac:dyDescent="0.3">
      <c r="A23" s="96" t="s">
        <v>67</v>
      </c>
      <c r="B23" s="84">
        <f t="shared" ref="B23:L23" si="9">SUM(B24:B25)</f>
        <v>228151.14</v>
      </c>
      <c r="C23" s="84">
        <f t="shared" si="9"/>
        <v>204160.39</v>
      </c>
      <c r="D23" s="84">
        <f t="shared" si="9"/>
        <v>246791.77000000002</v>
      </c>
      <c r="E23" s="84">
        <f t="shared" si="9"/>
        <v>207847.65</v>
      </c>
      <c r="F23" s="84">
        <f t="shared" si="9"/>
        <v>270302.92</v>
      </c>
      <c r="G23" s="84">
        <f t="shared" si="9"/>
        <v>164296.24</v>
      </c>
      <c r="H23" s="84">
        <f t="shared" si="9"/>
        <v>258688.86</v>
      </c>
      <c r="I23" s="84">
        <f t="shared" si="9"/>
        <v>251060.34000000003</v>
      </c>
      <c r="J23" s="84">
        <f t="shared" si="9"/>
        <v>256713.99</v>
      </c>
      <c r="K23" s="84">
        <f t="shared" si="9"/>
        <v>282249.02</v>
      </c>
      <c r="L23" s="84">
        <f t="shared" si="9"/>
        <v>225221.03</v>
      </c>
      <c r="M23" s="61">
        <v>322633.56</v>
      </c>
      <c r="N23" s="56">
        <f>SUM(Tabela16[[#This Row],[Coluna2]:[Coluna13]])</f>
        <v>2918116.91</v>
      </c>
      <c r="O23" s="7"/>
      <c r="P23" s="7"/>
    </row>
    <row r="24" spans="1:16" ht="15.75" customHeight="1" thickBot="1" x14ac:dyDescent="0.3">
      <c r="A24" s="95" t="s">
        <v>68</v>
      </c>
      <c r="B24" s="59">
        <v>92305.83</v>
      </c>
      <c r="C24" s="59">
        <v>96269.86</v>
      </c>
      <c r="D24" s="94">
        <v>91347.42</v>
      </c>
      <c r="E24" s="111">
        <v>94461.29</v>
      </c>
      <c r="F24" s="94">
        <v>103330.65</v>
      </c>
      <c r="G24" s="126">
        <v>83140.7</v>
      </c>
      <c r="H24" s="111">
        <v>104849.58</v>
      </c>
      <c r="I24" s="59">
        <v>101306.05</v>
      </c>
      <c r="J24" s="59">
        <v>114091.23</v>
      </c>
      <c r="K24" s="59">
        <v>108482.66</v>
      </c>
      <c r="L24" s="59">
        <v>99199.05</v>
      </c>
      <c r="M24" s="59">
        <v>130501.15</v>
      </c>
      <c r="N24" s="56">
        <f>SUM(Tabela16[[#This Row],[Coluna2]:[Coluna13]])</f>
        <v>1219285.4699999997</v>
      </c>
      <c r="O24" s="7"/>
      <c r="P24" s="7"/>
    </row>
    <row r="25" spans="1:16" ht="15.75" customHeight="1" thickBot="1" x14ac:dyDescent="0.3">
      <c r="A25" s="95" t="s">
        <v>69</v>
      </c>
      <c r="B25" s="59">
        <v>135845.31</v>
      </c>
      <c r="C25" s="59">
        <v>107890.53</v>
      </c>
      <c r="D25" s="94">
        <v>155444.35</v>
      </c>
      <c r="E25" s="111">
        <v>113386.36</v>
      </c>
      <c r="F25" s="94">
        <v>166972.26999999999</v>
      </c>
      <c r="G25" s="130">
        <v>81155.539999999994</v>
      </c>
      <c r="H25" s="111">
        <v>153839.28</v>
      </c>
      <c r="I25" s="59">
        <v>149754.29</v>
      </c>
      <c r="J25" s="59">
        <v>142622.76</v>
      </c>
      <c r="K25" s="59">
        <v>173766.36</v>
      </c>
      <c r="L25" s="59">
        <v>126021.98</v>
      </c>
      <c r="M25" s="59">
        <v>192132.41</v>
      </c>
      <c r="N25" s="56">
        <f>SUM(Tabela16[[#This Row],[Coluna2]:[Coluna13]])</f>
        <v>1698831.4399999997</v>
      </c>
      <c r="O25" s="7"/>
      <c r="P25" s="7"/>
    </row>
    <row r="26" spans="1:16" ht="15.75" customHeight="1" thickBot="1" x14ac:dyDescent="0.3">
      <c r="A26" s="95" t="s">
        <v>70</v>
      </c>
      <c r="B26" s="59"/>
      <c r="C26" s="59"/>
      <c r="D26" s="94"/>
      <c r="E26" s="111"/>
      <c r="F26" s="94"/>
      <c r="G26" s="126"/>
      <c r="H26" s="111"/>
      <c r="I26" s="59"/>
      <c r="J26" s="59"/>
      <c r="K26" s="59"/>
      <c r="L26" s="59"/>
      <c r="M26" s="59"/>
      <c r="N26" s="56">
        <f>SUM(Tabela16[[#This Row],[Coluna2]:[Coluna13]])</f>
        <v>0</v>
      </c>
      <c r="O26" s="7"/>
      <c r="P26" s="7"/>
    </row>
    <row r="27" spans="1:16" ht="15.75" customHeight="1" thickBot="1" x14ac:dyDescent="0.3">
      <c r="A27" s="95" t="s">
        <v>71</v>
      </c>
      <c r="B27" s="90">
        <v>22435.010000000002</v>
      </c>
      <c r="C27" s="61">
        <v>27039.35</v>
      </c>
      <c r="D27" s="84">
        <f>5100.92+22986.95</f>
        <v>28087.870000000003</v>
      </c>
      <c r="E27" s="90">
        <v>29054.66</v>
      </c>
      <c r="F27" s="84">
        <v>30511.480000000003</v>
      </c>
      <c r="G27" s="125">
        <v>30383.99</v>
      </c>
      <c r="H27" s="90">
        <v>31224.57</v>
      </c>
      <c r="I27" s="61">
        <v>31050.390000000003</v>
      </c>
      <c r="J27" s="61">
        <v>29162.03</v>
      </c>
      <c r="K27" s="61">
        <v>31680.51</v>
      </c>
      <c r="L27" s="61">
        <v>107749.08</v>
      </c>
      <c r="M27" s="61">
        <v>67034.58</v>
      </c>
      <c r="N27" s="56">
        <f>SUM(Tabela16[[#This Row],[Coluna2]:[Coluna13]])</f>
        <v>465413.52000000008</v>
      </c>
      <c r="O27" s="7"/>
      <c r="P27" s="7"/>
    </row>
    <row r="28" spans="1:16" ht="15.75" customHeight="1" thickBot="1" x14ac:dyDescent="0.3">
      <c r="A28" s="95" t="s">
        <v>72</v>
      </c>
      <c r="B28" s="65"/>
      <c r="C28" s="65"/>
      <c r="D28" s="65"/>
      <c r="E28" s="116"/>
      <c r="F28" s="65"/>
      <c r="G28" s="128"/>
      <c r="H28" s="116"/>
      <c r="I28" s="65"/>
      <c r="J28" s="65"/>
      <c r="K28" s="65"/>
      <c r="L28" s="65"/>
      <c r="M28" s="65"/>
      <c r="N28" s="56">
        <f>SUM(Tabela16[[#This Row],[Coluna2]:[Coluna13]])</f>
        <v>0</v>
      </c>
      <c r="O28" s="7"/>
      <c r="P28" s="7"/>
    </row>
    <row r="29" spans="1:16" ht="15.75" customHeight="1" thickBot="1" x14ac:dyDescent="0.3">
      <c r="A29" s="96" t="s">
        <v>50</v>
      </c>
      <c r="B29" s="66">
        <f t="shared" ref="B29:C29" si="10">SUM(B30,B33)</f>
        <v>450583.33</v>
      </c>
      <c r="C29" s="66">
        <f t="shared" si="10"/>
        <v>473116.82</v>
      </c>
      <c r="D29" s="66">
        <f>SUM(D30,D33)</f>
        <v>456807.31999999995</v>
      </c>
      <c r="E29" s="66">
        <f t="shared" ref="E29:L29" si="11">SUM(E30,E33)</f>
        <v>444907.74</v>
      </c>
      <c r="F29" s="66">
        <f t="shared" si="11"/>
        <v>523856.05000000005</v>
      </c>
      <c r="G29" s="66">
        <f t="shared" si="11"/>
        <v>470799.58</v>
      </c>
      <c r="H29" s="66">
        <f t="shared" si="11"/>
        <v>423932.98000000004</v>
      </c>
      <c r="I29" s="66">
        <f t="shared" si="11"/>
        <v>709739.55</v>
      </c>
      <c r="J29" s="66">
        <f t="shared" si="11"/>
        <v>517985.18999999994</v>
      </c>
      <c r="K29" s="66">
        <f t="shared" si="11"/>
        <v>461321.64</v>
      </c>
      <c r="L29" s="66">
        <f t="shared" si="11"/>
        <v>512921.35000000009</v>
      </c>
      <c r="M29" s="66">
        <v>446083.69000000006</v>
      </c>
      <c r="N29" s="56">
        <f>SUM(Tabela16[[#This Row],[Coluna2]:[Coluna13]])</f>
        <v>5892055.2400000012</v>
      </c>
      <c r="O29" s="7"/>
      <c r="P29" s="7"/>
    </row>
    <row r="30" spans="1:16" ht="15.75" customHeight="1" thickBot="1" x14ac:dyDescent="0.3">
      <c r="A30" s="96" t="s">
        <v>73</v>
      </c>
      <c r="B30" s="61">
        <v>328224.25</v>
      </c>
      <c r="C30" s="61">
        <v>362056.11</v>
      </c>
      <c r="D30" s="61">
        <f>SUM(D31:D32)</f>
        <v>336369.42</v>
      </c>
      <c r="E30" s="61">
        <f>SUM(E31:E32)</f>
        <v>369537.45999999996</v>
      </c>
      <c r="F30" s="61">
        <f>SUM(F31:F32)</f>
        <v>348048.46</v>
      </c>
      <c r="G30" s="61">
        <f>SUM(G31:G32)</f>
        <v>354700.94</v>
      </c>
      <c r="H30" s="61">
        <f>SUM(H31:H32)</f>
        <v>324837.16000000003</v>
      </c>
      <c r="I30" s="61">
        <v>353245.83999999997</v>
      </c>
      <c r="J30" s="61">
        <v>322311.26999999996</v>
      </c>
      <c r="K30" s="61">
        <v>333730.96000000002</v>
      </c>
      <c r="L30" s="61">
        <v>367399.94000000006</v>
      </c>
      <c r="M30" s="61">
        <v>336232.62000000005</v>
      </c>
      <c r="N30" s="56">
        <f>SUM(Tabela16[[#This Row],[Coluna2]:[Coluna13]])</f>
        <v>4136694.43</v>
      </c>
      <c r="O30" s="7"/>
      <c r="P30" s="7"/>
    </row>
    <row r="31" spans="1:16" ht="15.75" customHeight="1" thickBot="1" x14ac:dyDescent="0.3">
      <c r="A31" s="95" t="s">
        <v>74</v>
      </c>
      <c r="B31" s="59">
        <v>319747.86</v>
      </c>
      <c r="C31" s="59">
        <v>353034.22</v>
      </c>
      <c r="D31" s="67">
        <f>41453.84+2500+5328.07+287087.51</f>
        <v>336369.42</v>
      </c>
      <c r="E31" s="111">
        <v>362361.06999999995</v>
      </c>
      <c r="F31" s="94">
        <v>342872.07</v>
      </c>
      <c r="G31" s="126">
        <v>351524.55</v>
      </c>
      <c r="H31" s="111">
        <v>319660.77</v>
      </c>
      <c r="I31" s="59">
        <v>339840.93</v>
      </c>
      <c r="J31" s="59">
        <v>312254.11</v>
      </c>
      <c r="K31" s="59">
        <v>329589.84000000003</v>
      </c>
      <c r="L31" s="59">
        <v>353935.54000000004</v>
      </c>
      <c r="M31" s="59">
        <v>339344.24000000005</v>
      </c>
      <c r="N31" s="56">
        <f>SUM(Tabela16[[#This Row],[Coluna2]:[Coluna13]])</f>
        <v>4060534.62</v>
      </c>
      <c r="O31" s="7"/>
      <c r="P31" s="7"/>
    </row>
    <row r="32" spans="1:16" ht="15.75" customHeight="1" thickBot="1" x14ac:dyDescent="0.3">
      <c r="A32" s="95" t="s">
        <v>75</v>
      </c>
      <c r="B32" s="59">
        <v>8476.39</v>
      </c>
      <c r="C32" s="59">
        <v>9021.89</v>
      </c>
      <c r="D32" s="67">
        <v>0</v>
      </c>
      <c r="E32" s="111">
        <v>7176.39</v>
      </c>
      <c r="F32" s="94">
        <v>5176.3900000000003</v>
      </c>
      <c r="G32" s="126">
        <v>3176.39</v>
      </c>
      <c r="H32" s="111">
        <v>5176.3900000000003</v>
      </c>
      <c r="I32" s="59">
        <v>13404.91</v>
      </c>
      <c r="J32" s="59">
        <v>10057.16</v>
      </c>
      <c r="K32" s="59">
        <v>4141.12</v>
      </c>
      <c r="L32" s="59">
        <v>13464.4</v>
      </c>
      <c r="M32" s="59">
        <v>-3111.62</v>
      </c>
      <c r="N32" s="56">
        <f>SUM(Tabela16[[#This Row],[Coluna2]:[Coluna13]])</f>
        <v>76159.81</v>
      </c>
      <c r="O32" s="7"/>
      <c r="P32" s="7"/>
    </row>
    <row r="33" spans="1:16" ht="15.75" customHeight="1" thickBot="1" x14ac:dyDescent="0.3">
      <c r="A33" s="95" t="s">
        <v>76</v>
      </c>
      <c r="B33" s="61">
        <v>122359.08</v>
      </c>
      <c r="C33" s="61">
        <v>111060.71</v>
      </c>
      <c r="D33" s="137">
        <f>16409.78+8783.16+300+500+174.3+54960.51+27045+3951.58+8313.57</f>
        <v>120437.9</v>
      </c>
      <c r="E33" s="117">
        <v>75370.28</v>
      </c>
      <c r="F33" s="84">
        <v>175807.59000000003</v>
      </c>
      <c r="G33" s="125">
        <v>116098.64</v>
      </c>
      <c r="H33" s="90">
        <v>99095.82</v>
      </c>
      <c r="I33" s="61">
        <v>356493.71</v>
      </c>
      <c r="J33" s="84">
        <v>195673.91999999998</v>
      </c>
      <c r="K33" s="84">
        <v>127590.68</v>
      </c>
      <c r="L33" s="84">
        <v>145521.41</v>
      </c>
      <c r="M33" s="84">
        <v>109851.06999999999</v>
      </c>
      <c r="N33" s="56">
        <f>SUM(Tabela16[[#This Row],[Coluna2]:[Coluna13]])</f>
        <v>1755360.8099999998</v>
      </c>
      <c r="O33" s="7"/>
      <c r="P33" s="7"/>
    </row>
    <row r="34" spans="1:16" ht="15.75" customHeight="1" thickBot="1" x14ac:dyDescent="0.3">
      <c r="A34" s="96" t="s">
        <v>17</v>
      </c>
      <c r="B34" s="84">
        <f t="shared" ref="B34:C34" si="12">SUM(B35:B36)</f>
        <v>248408.26</v>
      </c>
      <c r="C34" s="84">
        <f t="shared" si="12"/>
        <v>286443.21000000002</v>
      </c>
      <c r="D34" s="84">
        <f>SUM(D35:D36)</f>
        <v>308446.68000000005</v>
      </c>
      <c r="E34" s="84">
        <f t="shared" ref="E34:L34" si="13">SUM(E35:E36)</f>
        <v>333140.61</v>
      </c>
      <c r="F34" s="84">
        <f t="shared" si="13"/>
        <v>228069.91</v>
      </c>
      <c r="G34" s="84">
        <f t="shared" si="13"/>
        <v>249530.06999999998</v>
      </c>
      <c r="H34" s="84">
        <f t="shared" si="13"/>
        <v>286906.31</v>
      </c>
      <c r="I34" s="84">
        <f t="shared" si="13"/>
        <v>634174.34</v>
      </c>
      <c r="J34" s="84">
        <f t="shared" si="13"/>
        <v>325142.66000000003</v>
      </c>
      <c r="K34" s="84">
        <f t="shared" si="13"/>
        <v>466139.51</v>
      </c>
      <c r="L34" s="84">
        <f t="shared" si="13"/>
        <v>297044.12</v>
      </c>
      <c r="M34" s="61">
        <v>400463.91000000003</v>
      </c>
      <c r="N34" s="56">
        <f>SUM(Tabela16[[#This Row],[Coluna2]:[Coluna13]])</f>
        <v>4063909.5900000008</v>
      </c>
      <c r="O34" s="7"/>
      <c r="P34" s="7"/>
    </row>
    <row r="35" spans="1:16" ht="15.75" customHeight="1" thickBot="1" x14ac:dyDescent="0.3">
      <c r="A35" s="95" t="s">
        <v>77</v>
      </c>
      <c r="B35" s="111">
        <v>125150.29999999999</v>
      </c>
      <c r="C35" s="59">
        <v>167444.44</v>
      </c>
      <c r="D35" s="92">
        <f>119156.74+39678.17</f>
        <v>158834.91</v>
      </c>
      <c r="E35" s="111">
        <v>191689.29</v>
      </c>
      <c r="F35" s="94">
        <v>125464.57</v>
      </c>
      <c r="G35" s="126">
        <v>114952.98999999999</v>
      </c>
      <c r="H35" s="111">
        <v>133991.97</v>
      </c>
      <c r="I35" s="59">
        <v>286754.3</v>
      </c>
      <c r="J35" s="59">
        <v>142504.25</v>
      </c>
      <c r="K35" s="59">
        <v>332460.67000000004</v>
      </c>
      <c r="L35" s="59">
        <v>175310.76</v>
      </c>
      <c r="M35" s="59">
        <v>231305.94999999998</v>
      </c>
      <c r="N35" s="56">
        <f>SUM(Tabela16[[#This Row],[Coluna2]:[Coluna13]])</f>
        <v>2185864.4</v>
      </c>
      <c r="O35" s="7"/>
      <c r="P35" s="7"/>
    </row>
    <row r="36" spans="1:16" ht="15.75" customHeight="1" thickBot="1" x14ac:dyDescent="0.3">
      <c r="A36" s="95" t="s">
        <v>78</v>
      </c>
      <c r="B36" s="59">
        <v>123257.96</v>
      </c>
      <c r="C36" s="59">
        <v>118998.77</v>
      </c>
      <c r="D36" s="92">
        <f>445.19+36171.02+62810.69+46888.55+3296.32</f>
        <v>149611.77000000002</v>
      </c>
      <c r="E36" s="111">
        <v>141451.32</v>
      </c>
      <c r="F36" s="94">
        <v>102605.34</v>
      </c>
      <c r="G36" s="126">
        <v>134577.07999999999</v>
      </c>
      <c r="H36" s="111">
        <v>152914.34</v>
      </c>
      <c r="I36" s="59">
        <v>347420.04</v>
      </c>
      <c r="J36" s="59">
        <v>182638.41</v>
      </c>
      <c r="K36" s="59">
        <v>133678.84</v>
      </c>
      <c r="L36" s="59">
        <v>121733.36</v>
      </c>
      <c r="M36" s="59">
        <v>169157.96000000002</v>
      </c>
      <c r="N36" s="56">
        <f>SUM(Tabela16[[#This Row],[Coluna2]:[Coluna13]])</f>
        <v>1878045.19</v>
      </c>
      <c r="O36" s="7"/>
      <c r="P36" s="7"/>
    </row>
    <row r="37" spans="1:16" ht="15.75" customHeight="1" thickBot="1" x14ac:dyDescent="0.3">
      <c r="A37" s="95" t="s">
        <v>79</v>
      </c>
      <c r="B37" s="90">
        <v>319841.91000000003</v>
      </c>
      <c r="C37" s="61">
        <v>174999.22999999998</v>
      </c>
      <c r="D37" s="91">
        <f>75241.73+132189.2</f>
        <v>207430.93</v>
      </c>
      <c r="E37" s="90">
        <v>146766.28</v>
      </c>
      <c r="F37" s="84">
        <v>149470.69999999998</v>
      </c>
      <c r="G37" s="118">
        <v>133069.6</v>
      </c>
      <c r="H37" s="90">
        <v>129921.01000000001</v>
      </c>
      <c r="I37" s="61">
        <v>145208.44</v>
      </c>
      <c r="J37" s="84">
        <v>113529.70000000001</v>
      </c>
      <c r="K37" s="84">
        <v>157739.19999999998</v>
      </c>
      <c r="L37" s="84">
        <v>120568.37</v>
      </c>
      <c r="M37" s="84">
        <v>165103.38</v>
      </c>
      <c r="N37" s="56">
        <f>SUM(Tabela16[[#This Row],[Coluna2]:[Coluna13]])</f>
        <v>1963648.75</v>
      </c>
      <c r="O37" s="7"/>
      <c r="P37" s="7"/>
    </row>
    <row r="38" spans="1:16" ht="15.75" customHeight="1" thickBot="1" x14ac:dyDescent="0.3">
      <c r="A38" s="95" t="s">
        <v>35</v>
      </c>
      <c r="B38" s="138">
        <v>-8327.2900000000009</v>
      </c>
      <c r="C38" s="61">
        <v>1603.7</v>
      </c>
      <c r="D38" s="61">
        <v>1817.04</v>
      </c>
      <c r="E38" s="90">
        <v>1928.6</v>
      </c>
      <c r="F38" s="84">
        <v>1712.4099999999999</v>
      </c>
      <c r="G38" s="125">
        <v>1217.1500000000001</v>
      </c>
      <c r="H38" s="90">
        <v>4890.68</v>
      </c>
      <c r="I38" s="138">
        <v>7016.2699999999995</v>
      </c>
      <c r="J38" s="61">
        <v>8576.43</v>
      </c>
      <c r="K38" s="61">
        <v>27103.73</v>
      </c>
      <c r="L38" s="61">
        <v>79837.189999999988</v>
      </c>
      <c r="M38" s="61">
        <v>12804.859999999999</v>
      </c>
      <c r="N38" s="56">
        <f>SUM(Tabela16[[#This Row],[Coluna2]:[Coluna13]])</f>
        <v>140180.76999999999</v>
      </c>
      <c r="O38" s="7"/>
      <c r="P38" s="7"/>
    </row>
    <row r="39" spans="1:16" ht="15.75" customHeight="1" thickBot="1" x14ac:dyDescent="0.3">
      <c r="A39" s="95" t="s">
        <v>80</v>
      </c>
      <c r="B39" s="90">
        <v>611.69000000000005</v>
      </c>
      <c r="C39" s="61">
        <v>515.1</v>
      </c>
      <c r="D39" s="61">
        <v>508.3</v>
      </c>
      <c r="E39" s="118">
        <v>508.3</v>
      </c>
      <c r="F39" s="61">
        <v>530.97</v>
      </c>
      <c r="G39" s="125">
        <v>521.32999999999993</v>
      </c>
      <c r="H39" s="90">
        <v>532.75</v>
      </c>
      <c r="I39" s="61">
        <v>505.93</v>
      </c>
      <c r="J39" s="61">
        <v>521.9</v>
      </c>
      <c r="K39" s="61">
        <v>540.6</v>
      </c>
      <c r="L39" s="61">
        <v>955.4</v>
      </c>
      <c r="M39" s="61">
        <v>1021.69</v>
      </c>
      <c r="N39" s="56">
        <f>SUM(Tabela16[[#This Row],[Coluna2]:[Coluna13]])</f>
        <v>7273.9599999999991</v>
      </c>
      <c r="O39" s="7"/>
      <c r="P39" s="7"/>
    </row>
    <row r="40" spans="1:16" ht="15.75" customHeight="1" thickBot="1" x14ac:dyDescent="0.3">
      <c r="A40" s="96" t="s">
        <v>81</v>
      </c>
      <c r="B40" s="68">
        <f t="shared" ref="B40:C40" si="14">B29+B20+B34+B37+B38+B39</f>
        <v>2483642.5700000003</v>
      </c>
      <c r="C40" s="68">
        <f t="shared" si="14"/>
        <v>2411027.7600000007</v>
      </c>
      <c r="D40" s="68">
        <f t="shared" ref="D40:L40" si="15">D29+D20+D34+D37+D38+D39</f>
        <v>2467740.9600000004</v>
      </c>
      <c r="E40" s="68">
        <f t="shared" si="15"/>
        <v>2377739.1199999996</v>
      </c>
      <c r="F40" s="68">
        <f t="shared" si="15"/>
        <v>2451372.1600000006</v>
      </c>
      <c r="G40" s="68">
        <f t="shared" si="15"/>
        <v>2258456.56</v>
      </c>
      <c r="H40" s="68">
        <f t="shared" si="15"/>
        <v>2385510.1200000006</v>
      </c>
      <c r="I40" s="68">
        <f t="shared" si="15"/>
        <v>3018973.24</v>
      </c>
      <c r="J40" s="68">
        <f t="shared" si="15"/>
        <v>2597427.8900000006</v>
      </c>
      <c r="K40" s="68">
        <f t="shared" si="15"/>
        <v>2699926.87</v>
      </c>
      <c r="L40" s="68">
        <f t="shared" si="15"/>
        <v>2630667.96</v>
      </c>
      <c r="M40" s="68">
        <v>2788583.06</v>
      </c>
      <c r="N40" s="56">
        <f>SUM(Tabela16[[#This Row],[Coluna2]:[Coluna13]])</f>
        <v>30571068.270000003</v>
      </c>
    </row>
    <row r="41" spans="1:16" ht="15.75" customHeight="1" thickBot="1" x14ac:dyDescent="0.3">
      <c r="A41" s="95" t="s">
        <v>51</v>
      </c>
      <c r="B41" s="59">
        <v>0</v>
      </c>
      <c r="C41" s="69">
        <v>0</v>
      </c>
      <c r="D41" s="69">
        <v>0</v>
      </c>
      <c r="E41" s="111">
        <v>0</v>
      </c>
      <c r="F41" s="69">
        <v>0</v>
      </c>
      <c r="G41" s="129">
        <v>0</v>
      </c>
      <c r="H41" s="120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56">
        <f>SUM(Tabela16[[#This Row],[Coluna2]:[Coluna13]])</f>
        <v>0</v>
      </c>
    </row>
    <row r="42" spans="1:16" ht="15.75" customHeight="1" thickBot="1" x14ac:dyDescent="0.3">
      <c r="A42" s="95" t="s">
        <v>82</v>
      </c>
      <c r="B42" s="59">
        <v>10897.86</v>
      </c>
      <c r="C42" s="59">
        <v>34396</v>
      </c>
      <c r="D42" s="59">
        <v>3835</v>
      </c>
      <c r="E42" s="111">
        <v>0</v>
      </c>
      <c r="F42" s="111"/>
      <c r="G42" s="126">
        <v>0</v>
      </c>
      <c r="H42" s="111">
        <v>0</v>
      </c>
      <c r="I42" s="59">
        <v>1680</v>
      </c>
      <c r="J42" s="59">
        <v>0</v>
      </c>
      <c r="K42" s="59">
        <v>0</v>
      </c>
      <c r="L42" s="59">
        <v>0</v>
      </c>
      <c r="M42" s="59">
        <v>0</v>
      </c>
      <c r="N42" s="56">
        <f>SUM(Tabela16[[#This Row],[Coluna2]:[Coluna13]])</f>
        <v>50808.86</v>
      </c>
    </row>
    <row r="43" spans="1:16" ht="15.75" customHeight="1" thickBot="1" x14ac:dyDescent="0.3">
      <c r="A43" s="95" t="s">
        <v>83</v>
      </c>
      <c r="B43" s="59">
        <v>0</v>
      </c>
      <c r="C43" s="59">
        <v>0</v>
      </c>
      <c r="D43" s="59">
        <f>5225+630</f>
        <v>5855</v>
      </c>
      <c r="E43" s="111">
        <v>-5225</v>
      </c>
      <c r="F43" s="59"/>
      <c r="G43" s="126">
        <v>0</v>
      </c>
      <c r="H43" s="111">
        <v>500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6">
        <f>SUM(Tabela16[[#This Row],[Coluna2]:[Coluna13]])</f>
        <v>1130</v>
      </c>
    </row>
    <row r="44" spans="1:16" ht="15.75" customHeight="1" thickBot="1" x14ac:dyDescent="0.3">
      <c r="A44" s="95" t="s">
        <v>84</v>
      </c>
      <c r="B44" s="59">
        <v>0</v>
      </c>
      <c r="C44" s="59">
        <v>0</v>
      </c>
      <c r="D44" s="59"/>
      <c r="E44" s="111">
        <v>0</v>
      </c>
      <c r="F44" s="59"/>
      <c r="G44" s="126">
        <v>0</v>
      </c>
      <c r="H44" s="111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6">
        <f>SUM(Tabela16[[#This Row],[Coluna2]:[Coluna13]])</f>
        <v>0</v>
      </c>
    </row>
    <row r="45" spans="1:16" ht="15.75" customHeight="1" thickBot="1" x14ac:dyDescent="0.3">
      <c r="A45" s="95" t="s">
        <v>85</v>
      </c>
      <c r="B45" s="59">
        <v>0</v>
      </c>
      <c r="C45" s="59">
        <v>0</v>
      </c>
      <c r="D45" s="59"/>
      <c r="E45" s="111">
        <v>0</v>
      </c>
      <c r="F45" s="59"/>
      <c r="G45" s="126">
        <v>0</v>
      </c>
      <c r="H45" s="111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6">
        <f>SUM(Tabela16[[#This Row],[Coluna2]:[Coluna13]])</f>
        <v>0</v>
      </c>
    </row>
    <row r="46" spans="1:16" ht="15.75" customHeight="1" thickBot="1" x14ac:dyDescent="0.3">
      <c r="A46" s="95" t="s">
        <v>86</v>
      </c>
      <c r="B46" s="59">
        <v>0</v>
      </c>
      <c r="C46" s="59">
        <v>0</v>
      </c>
      <c r="D46" s="59">
        <v>0</v>
      </c>
      <c r="E46" s="111">
        <v>0</v>
      </c>
      <c r="F46" s="59">
        <v>0</v>
      </c>
      <c r="G46" s="59">
        <v>0</v>
      </c>
      <c r="H46" s="111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6">
        <f>SUM(Tabela16[[#This Row],[Coluna2]:[Coluna13]])</f>
        <v>0</v>
      </c>
    </row>
    <row r="47" spans="1:16" ht="15.75" customHeight="1" thickBot="1" x14ac:dyDescent="0.3">
      <c r="A47" s="96" t="s">
        <v>87</v>
      </c>
      <c r="B47" s="68">
        <f>SUM(B41:B46)</f>
        <v>10897.86</v>
      </c>
      <c r="C47" s="68">
        <f>SUM(C41:C46)</f>
        <v>34396</v>
      </c>
      <c r="D47" s="68">
        <f t="shared" ref="D47:F47" si="16">SUM(D41:D46)</f>
        <v>9690</v>
      </c>
      <c r="E47" s="119">
        <f t="shared" si="16"/>
        <v>-5225</v>
      </c>
      <c r="F47" s="68">
        <f t="shared" si="16"/>
        <v>0</v>
      </c>
      <c r="G47" s="68">
        <v>0</v>
      </c>
      <c r="H47" s="119">
        <v>500</v>
      </c>
      <c r="I47" s="68">
        <v>1680</v>
      </c>
      <c r="J47" s="68">
        <v>0</v>
      </c>
      <c r="K47" s="68">
        <v>0</v>
      </c>
      <c r="L47" s="68">
        <v>0</v>
      </c>
      <c r="M47" s="68">
        <v>0</v>
      </c>
      <c r="N47" s="56">
        <f>SUM(Tabela16[[#This Row],[Coluna2]:[Coluna13]])</f>
        <v>51938.86</v>
      </c>
    </row>
    <row r="48" spans="1:16" ht="15.75" customHeight="1" thickBot="1" x14ac:dyDescent="0.3">
      <c r="A48" s="96" t="s">
        <v>52</v>
      </c>
      <c r="B48" s="70">
        <f>B47+B40</f>
        <v>2494540.4300000002</v>
      </c>
      <c r="C48" s="70">
        <f>C47+C40</f>
        <v>2445423.7600000007</v>
      </c>
      <c r="D48" s="70">
        <f t="shared" ref="D48" si="17">D47+D40</f>
        <v>2477430.9600000004</v>
      </c>
      <c r="E48" s="70">
        <f t="shared" ref="E48:K48" si="18">E47+E40</f>
        <v>2372514.1199999996</v>
      </c>
      <c r="F48" s="70">
        <f t="shared" si="18"/>
        <v>2451372.1600000006</v>
      </c>
      <c r="G48" s="70">
        <f t="shared" si="18"/>
        <v>2258456.56</v>
      </c>
      <c r="H48" s="70">
        <f t="shared" si="18"/>
        <v>2386010.1200000006</v>
      </c>
      <c r="I48" s="70">
        <f t="shared" si="18"/>
        <v>3020653.24</v>
      </c>
      <c r="J48" s="70">
        <f t="shared" si="18"/>
        <v>2597427.8900000006</v>
      </c>
      <c r="K48" s="70">
        <f t="shared" si="18"/>
        <v>2699926.87</v>
      </c>
      <c r="L48" s="70">
        <v>2630667.96</v>
      </c>
      <c r="M48" s="70">
        <v>2788583.06</v>
      </c>
      <c r="N48" s="56">
        <f>SUM(Tabela16[[#This Row],[Coluna2]:[Coluna13]])</f>
        <v>30623007.130000003</v>
      </c>
    </row>
    <row r="49" spans="1:14" ht="15.75" customHeight="1" thickBot="1" x14ac:dyDescent="0.3">
      <c r="A49" s="97" t="s">
        <v>53</v>
      </c>
      <c r="B49" s="71">
        <f>B18-B48</f>
        <v>106567.18999999994</v>
      </c>
      <c r="C49" s="71">
        <f>C18-C48</f>
        <v>150814.64999999944</v>
      </c>
      <c r="D49" s="71">
        <f t="shared" ref="D49" si="19">D18-D48</f>
        <v>125160.3599999994</v>
      </c>
      <c r="E49" s="71">
        <f t="shared" ref="E49:K49" si="20">E18-E48</f>
        <v>231747.84000000032</v>
      </c>
      <c r="F49" s="71">
        <f t="shared" si="20"/>
        <v>149245.23999999929</v>
      </c>
      <c r="G49" s="71">
        <f t="shared" si="20"/>
        <v>356347.25</v>
      </c>
      <c r="H49" s="71">
        <f t="shared" si="20"/>
        <v>224202.01999999955</v>
      </c>
      <c r="I49" s="71">
        <f t="shared" si="20"/>
        <v>-411934.09000000032</v>
      </c>
      <c r="J49" s="71">
        <f t="shared" si="20"/>
        <v>26133.769999999553</v>
      </c>
      <c r="K49" s="71">
        <f t="shared" si="20"/>
        <v>-97060.439999999944</v>
      </c>
      <c r="L49" s="71">
        <v>-14459.410000000149</v>
      </c>
      <c r="M49" s="71">
        <v>-186810.51000000024</v>
      </c>
      <c r="N49" s="56">
        <f>SUM(Tabela16[[#This Row],[Coluna2]:[Coluna13]])</f>
        <v>659953.86999999685</v>
      </c>
    </row>
    <row r="50" spans="1:14" ht="15" customHeight="1" thickBot="1" x14ac:dyDescent="0.3">
      <c r="A50" s="149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50"/>
      <c r="N50" s="124"/>
    </row>
    <row r="51" spans="1:14" ht="15.75" hidden="1" customHeight="1" thickBot="1" x14ac:dyDescent="0.3">
      <c r="A51" s="123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4"/>
    </row>
    <row r="52" spans="1:14" ht="15.75" hidden="1" customHeight="1" thickBot="1" x14ac:dyDescent="0.3">
      <c r="A52" s="123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4"/>
    </row>
    <row r="53" spans="1:14" ht="15.75" hidden="1" customHeight="1" thickBot="1" x14ac:dyDescent="0.3">
      <c r="A53" s="123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4"/>
    </row>
    <row r="54" spans="1:14" ht="15.75" hidden="1" customHeight="1" thickBot="1" x14ac:dyDescent="0.3">
      <c r="A54" s="72"/>
      <c r="B54" s="73"/>
      <c r="C54" s="73"/>
      <c r="D54" s="73"/>
      <c r="E54" s="121"/>
      <c r="F54" s="73"/>
      <c r="G54" s="73"/>
      <c r="H54" s="121"/>
      <c r="I54" s="73"/>
      <c r="J54" s="73"/>
      <c r="K54" s="73"/>
      <c r="L54" s="73"/>
      <c r="M54" s="73"/>
      <c r="N54" s="73"/>
    </row>
    <row r="55" spans="1:14" ht="15.75" customHeight="1" thickBot="1" x14ac:dyDescent="0.3">
      <c r="A55" s="199" t="s">
        <v>54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1"/>
      <c r="N55" s="49"/>
    </row>
    <row r="56" spans="1:14" ht="15.75" customHeight="1" thickBot="1" x14ac:dyDescent="0.3">
      <c r="A56" s="74" t="s">
        <v>21</v>
      </c>
      <c r="B56" s="192" t="s">
        <v>39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49"/>
    </row>
    <row r="57" spans="1:14" ht="117.75" customHeight="1" thickBot="1" x14ac:dyDescent="0.3">
      <c r="A57" s="10" t="s">
        <v>7</v>
      </c>
      <c r="B57" s="196" t="s">
        <v>89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8"/>
      <c r="N57" s="49"/>
    </row>
    <row r="58" spans="1:14" ht="147.75" customHeight="1" thickBot="1" x14ac:dyDescent="0.3">
      <c r="A58" s="10" t="s">
        <v>8</v>
      </c>
      <c r="B58" s="193" t="s">
        <v>91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5"/>
      <c r="N58" s="49"/>
    </row>
    <row r="59" spans="1:14" ht="171" customHeight="1" thickBot="1" x14ac:dyDescent="0.3">
      <c r="A59" s="10" t="s">
        <v>9</v>
      </c>
      <c r="B59" s="196" t="s">
        <v>93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8"/>
      <c r="N59" s="49"/>
    </row>
    <row r="60" spans="1:14" ht="175.5" customHeight="1" thickBot="1" x14ac:dyDescent="0.3">
      <c r="A60" s="10" t="s">
        <v>10</v>
      </c>
      <c r="B60" s="193" t="s">
        <v>94</v>
      </c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5"/>
      <c r="N60" s="49"/>
    </row>
    <row r="61" spans="1:14" ht="158.25" customHeight="1" thickBot="1" x14ac:dyDescent="0.3">
      <c r="A61" s="10" t="s">
        <v>11</v>
      </c>
      <c r="B61" s="196" t="s">
        <v>96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8"/>
      <c r="N61" s="49"/>
    </row>
    <row r="62" spans="1:14" ht="145.5" customHeight="1" thickBot="1" x14ac:dyDescent="0.3">
      <c r="A62" s="10" t="s">
        <v>25</v>
      </c>
      <c r="B62" s="193" t="s">
        <v>99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5"/>
      <c r="N62" s="49"/>
    </row>
    <row r="63" spans="1:14" ht="157.5" customHeight="1" thickBot="1" x14ac:dyDescent="0.3">
      <c r="A63" s="10" t="s">
        <v>26</v>
      </c>
      <c r="B63" s="196" t="s">
        <v>101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8"/>
      <c r="N63" s="49"/>
    </row>
    <row r="64" spans="1:14" ht="141.75" customHeight="1" thickBot="1" x14ac:dyDescent="0.3">
      <c r="A64" s="10" t="s">
        <v>1</v>
      </c>
      <c r="B64" s="193" t="s">
        <v>103</v>
      </c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5"/>
      <c r="N64" s="49"/>
    </row>
    <row r="65" spans="1:14" ht="194.25" customHeight="1" thickBot="1" x14ac:dyDescent="0.3">
      <c r="A65" s="10" t="s">
        <v>2</v>
      </c>
      <c r="B65" s="196" t="s">
        <v>105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8"/>
      <c r="N65" s="49"/>
    </row>
    <row r="66" spans="1:14" ht="188.25" customHeight="1" thickBot="1" x14ac:dyDescent="0.3">
      <c r="A66" s="10" t="s">
        <v>4</v>
      </c>
      <c r="B66" s="193" t="s">
        <v>106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5"/>
      <c r="N66" s="49"/>
    </row>
    <row r="67" spans="1:14" ht="207.75" customHeight="1" thickBot="1" x14ac:dyDescent="0.3">
      <c r="A67" s="10" t="s">
        <v>5</v>
      </c>
      <c r="B67" s="186" t="s">
        <v>108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8"/>
      <c r="N67" s="49"/>
    </row>
    <row r="68" spans="1:14" ht="217.5" customHeight="1" thickBot="1" x14ac:dyDescent="0.3">
      <c r="A68" s="10" t="s">
        <v>6</v>
      </c>
      <c r="B68" s="189" t="s">
        <v>111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1"/>
      <c r="N68" s="49"/>
    </row>
  </sheetData>
  <protectedRanges>
    <protectedRange sqref="C37:M39" name="Intervalo9_1"/>
    <protectedRange sqref="C35:M36" name="Intervalo8_1"/>
    <protectedRange sqref="C33 G33:M33" name="Intervalo7_1"/>
    <protectedRange sqref="E33:F33 C31:M32" name="Intervalo6_1"/>
    <protectedRange sqref="C12:M16" name="Intervalo3_1"/>
    <protectedRange sqref="C9:M10" name="Intervalo2_1"/>
    <protectedRange sqref="C6:M7 C5:D5 F5:M5" name="Intervalo1_2"/>
    <protectedRange sqref="C21:M22" name="Intervalo4_1"/>
    <protectedRange sqref="C24:M28" name="Intervalo5_1"/>
    <protectedRange sqref="C41:M46" name="Intervalo10_1"/>
    <protectedRange sqref="B28" name="Intervalo5_1_1"/>
    <protectedRange sqref="B5:B7" name="Intervalo1_2_2"/>
    <protectedRange sqref="B13:B15" name="Intervalo3_1_2"/>
    <protectedRange sqref="B9:B10" name="Intervalo2_1_2"/>
    <protectedRange sqref="B12 B16" name="Intervalo1_2_3"/>
    <protectedRange sqref="B21:B22" name="Intervalo1_2_4"/>
    <protectedRange sqref="B24:B25 B27" name="Intervalo1_2_5"/>
    <protectedRange sqref="B26" name="Intervalo5_1_2"/>
    <protectedRange sqref="B31:B32" name="Intervalo1_2_7"/>
    <protectedRange sqref="B33" name="Intervalo1_2_8"/>
    <protectedRange sqref="B35:B39" name="Intervalo1_2_9"/>
    <protectedRange sqref="B41:B46" name="Intervalo1_2_10"/>
    <protectedRange sqref="B57:M57" name="Intervalo11_2_2_1"/>
    <protectedRange sqref="C58:M58" name="Intervalo11_2_3_1"/>
    <protectedRange sqref="B58" name="Intervalo11_2_1_1_1"/>
    <protectedRange sqref="C59:M59" name="Intervalo11_2_3_2"/>
    <protectedRange sqref="B59" name="Intervalo11_2_1_1_2"/>
    <protectedRange sqref="E5" name="Intervalo1_2_2_1"/>
    <protectedRange sqref="C60:M60" name="Intervalo11_2_3_3"/>
    <protectedRange sqref="B60" name="Intervalo11_2_1_1_3"/>
    <protectedRange sqref="C61:M61" name="Intervalo11_2_3_4"/>
    <protectedRange sqref="B61" name="Intervalo11_2_1_1_4"/>
    <protectedRange sqref="C62:M62" name="Intervalo11_2_3_5"/>
    <protectedRange sqref="B62" name="Intervalo11_2_1_1_5"/>
    <protectedRange sqref="C63:M63" name="Intervalo11_2_3_6"/>
    <protectedRange sqref="B63" name="Intervalo11_2_1_1_6"/>
    <protectedRange sqref="C64:M64" name="Intervalo11_2_3_7"/>
    <protectedRange sqref="B64" name="Intervalo11_2_1_1_7"/>
    <protectedRange sqref="C65:M65" name="Intervalo11_2_3_8"/>
    <protectedRange sqref="B65" name="Intervalo11_2_1_1_8"/>
    <protectedRange sqref="C66:M66" name="Intervalo11_2_3_9"/>
    <protectedRange sqref="B66" name="Intervalo11_2_1_1_9"/>
    <protectedRange sqref="C67:M67" name="Intervalo11_2"/>
    <protectedRange sqref="B67" name="Intervalo11_2_1"/>
    <protectedRange sqref="C68:M68" name="Intervalo11_2_2"/>
    <protectedRange sqref="B68" name="Intervalo11_2_1_1"/>
  </protectedRanges>
  <mergeCells count="15">
    <mergeCell ref="A55:M55"/>
    <mergeCell ref="A2:M2"/>
    <mergeCell ref="B61:M61"/>
    <mergeCell ref="B62:M62"/>
    <mergeCell ref="B63:M63"/>
    <mergeCell ref="B57:M57"/>
    <mergeCell ref="B58:M58"/>
    <mergeCell ref="B59:M59"/>
    <mergeCell ref="B60:M60"/>
    <mergeCell ref="B67:M67"/>
    <mergeCell ref="B68:M68"/>
    <mergeCell ref="B56:M56"/>
    <mergeCell ref="B64:M64"/>
    <mergeCell ref="B66:M66"/>
    <mergeCell ref="B65:M65"/>
  </mergeCells>
  <pageMargins left="0.39370078740157483" right="0.39370078740157483" top="1.0236220472440944" bottom="0.78740157480314965" header="0.31496062992125984" footer="0.31496062992125984"/>
  <pageSetup paperSize="9" scale="54" fitToHeight="0" orientation="landscape" r:id="rId1"/>
  <headerFooter>
    <oddHeader>&amp;L&amp;G&amp;C&amp;"-,Negrito"&amp;18RELATÓRIO - GESTÃO EM SAÚDE
RELATÓRIO - DEMONSTRATIVO CONTÁBIL OPERACIONAL
CENTRO DE REFERENCIA DE SAUDE DA MULHER - MATER - PERÍODO: 2019</oddHeader>
    <oddFooter>&amp;C&amp;"-,Negrito"&amp;18Rua Galileu Galilei, 1800 - Sala 605 – Condomínio Itamaraty - 14024-193 – Ribeirão Preto/SPCNPJ/MF 57.722.118/0005-74 - Fones: (16) 3505-8101 /3505-8197</oddFooter>
  </headerFooter>
  <rowBreaks count="1" manualBreakCount="1">
    <brk id="52" max="16383" man="1"/>
  </rowBreaks>
  <legacy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Resultado Operacional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f0214</cp:lastModifiedBy>
  <cp:lastPrinted>2019-11-14T14:48:13Z</cp:lastPrinted>
  <dcterms:created xsi:type="dcterms:W3CDTF">2008-07-21T21:08:00Z</dcterms:created>
  <dcterms:modified xsi:type="dcterms:W3CDTF">2020-01-17T14:30:43Z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